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Word and Excel Annexures\"/>
    </mc:Choice>
  </mc:AlternateContent>
  <xr:revisionPtr revIDLastSave="0" documentId="13_ncr:1_{45D58F13-5D2C-49C4-A8F7-52084951BB75}" xr6:coauthVersionLast="36" xr6:coauthVersionMax="36" xr10:uidLastSave="{00000000-0000-0000-0000-000000000000}"/>
  <bookViews>
    <workbookView xWindow="0" yWindow="0" windowWidth="24000" windowHeight="9525" activeTab="4" xr2:uid="{445C6856-E580-4348-9B8B-B5B7B0E602A8}"/>
  </bookViews>
  <sheets>
    <sheet name="2.1" sheetId="21" r:id="rId1"/>
    <sheet name="2.2 &amp; 2.3 PSUT 2015-16" sheetId="20" r:id="rId2"/>
    <sheet name="2.4 &amp; 2.5 PSUT 2016-17 " sheetId="19" r:id="rId3"/>
    <sheet name="2.6 &amp; 2.7 PSUT 2017-18" sheetId="18" r:id="rId4"/>
    <sheet name="2.8 &amp; 2.9 PSUT 2018-19" sheetId="17" r:id="rId5"/>
  </sheets>
  <definedNames>
    <definedName name="_xlnm.Print_Area" localSheetId="1">'2.2 &amp; 2.3 PSUT 2015-16'!$A$1:$AA$50</definedName>
    <definedName name="_xlnm.Print_Area" localSheetId="2">'2.4 &amp; 2.5 PSUT 2016-17 '!$A$1:$AA$50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6" i="20" l="1"/>
  <c r="S38" i="20" s="1"/>
  <c r="E33" i="20" s="1"/>
  <c r="E34" i="20" s="1"/>
  <c r="X36" i="20"/>
  <c r="W33" i="20"/>
  <c r="AA33" i="20" s="1"/>
  <c r="X30" i="20"/>
  <c r="AA30" i="20" s="1"/>
  <c r="AA48" i="20"/>
  <c r="AA39" i="20"/>
  <c r="Z38" i="20"/>
  <c r="Y38" i="20"/>
  <c r="Y49" i="20" s="1"/>
  <c r="V38" i="20"/>
  <c r="H33" i="20" s="1"/>
  <c r="H34" i="20" s="1"/>
  <c r="U38" i="20"/>
  <c r="G33" i="20" s="1"/>
  <c r="G34" i="20" s="1"/>
  <c r="T38" i="20"/>
  <c r="F33" i="20" s="1"/>
  <c r="F34" i="20" s="1"/>
  <c r="R38" i="20"/>
  <c r="D33" i="20" s="1"/>
  <c r="Q38" i="20"/>
  <c r="C33" i="20" s="1"/>
  <c r="C34" i="20" s="1"/>
  <c r="AA37" i="20"/>
  <c r="M37" i="20"/>
  <c r="AA35" i="20"/>
  <c r="M36" i="20"/>
  <c r="X47" i="20" s="1"/>
  <c r="AA47" i="20" s="1"/>
  <c r="AA34" i="20"/>
  <c r="W32" i="20"/>
  <c r="AA32" i="20" s="1"/>
  <c r="AA31" i="20"/>
  <c r="M32" i="20"/>
  <c r="Z43" i="20" s="1"/>
  <c r="AA43" i="20" s="1"/>
  <c r="M31" i="20"/>
  <c r="Z42" i="20" s="1"/>
  <c r="AA42" i="20" s="1"/>
  <c r="M30" i="20"/>
  <c r="Z41" i="20" s="1"/>
  <c r="AA41" i="20" s="1"/>
  <c r="V28" i="20"/>
  <c r="U28" i="20"/>
  <c r="S28" i="20"/>
  <c r="R28" i="20"/>
  <c r="Q28" i="20"/>
  <c r="AA27" i="20"/>
  <c r="L28" i="20"/>
  <c r="K28" i="20"/>
  <c r="K38" i="20" s="1"/>
  <c r="J28" i="20"/>
  <c r="J38" i="20" s="1"/>
  <c r="I28" i="20"/>
  <c r="H28" i="20"/>
  <c r="G28" i="20"/>
  <c r="E28" i="20"/>
  <c r="AA26" i="20"/>
  <c r="M27" i="20"/>
  <c r="AA25" i="20"/>
  <c r="M26" i="20"/>
  <c r="D25" i="20"/>
  <c r="M25" i="20" s="1"/>
  <c r="AA23" i="20"/>
  <c r="F24" i="20"/>
  <c r="M24" i="20" s="1"/>
  <c r="T22" i="20"/>
  <c r="AA22" i="20" s="1"/>
  <c r="F23" i="20"/>
  <c r="M23" i="20" s="1"/>
  <c r="AA21" i="20"/>
  <c r="C22" i="20"/>
  <c r="M22" i="20" s="1"/>
  <c r="AA20" i="20"/>
  <c r="D21" i="20"/>
  <c r="M21" i="20" s="1"/>
  <c r="M20" i="20"/>
  <c r="V17" i="20"/>
  <c r="U17" i="20"/>
  <c r="S17" i="20"/>
  <c r="Q16" i="20"/>
  <c r="Q17" i="20" s="1"/>
  <c r="L17" i="20"/>
  <c r="M17" i="20" s="1"/>
  <c r="M16" i="20"/>
  <c r="R14" i="20"/>
  <c r="AA14" i="20" s="1"/>
  <c r="M15" i="20"/>
  <c r="T15" i="20" s="1"/>
  <c r="R13" i="20"/>
  <c r="AA13" i="20" s="1"/>
  <c r="M14" i="20"/>
  <c r="R12" i="20"/>
  <c r="AA12" i="20" s="1"/>
  <c r="M13" i="20"/>
  <c r="R11" i="20"/>
  <c r="M12" i="20"/>
  <c r="M11" i="20"/>
  <c r="F24" i="19"/>
  <c r="M24" i="19" s="1"/>
  <c r="W33" i="19"/>
  <c r="AA33" i="19" s="1"/>
  <c r="X30" i="19"/>
  <c r="X38" i="19" s="1"/>
  <c r="X49" i="19" s="1"/>
  <c r="AA48" i="19"/>
  <c r="AA39" i="19"/>
  <c r="Z38" i="19"/>
  <c r="Y38" i="19"/>
  <c r="Y49" i="19" s="1"/>
  <c r="V38" i="19"/>
  <c r="H33" i="19" s="1"/>
  <c r="H34" i="19" s="1"/>
  <c r="U38" i="19"/>
  <c r="G33" i="19" s="1"/>
  <c r="T38" i="19"/>
  <c r="F33" i="19" s="1"/>
  <c r="F34" i="19" s="1"/>
  <c r="S38" i="19"/>
  <c r="E33" i="19" s="1"/>
  <c r="E34" i="19" s="1"/>
  <c r="R38" i="19"/>
  <c r="D33" i="19" s="1"/>
  <c r="D34" i="19" s="1"/>
  <c r="Q38" i="19"/>
  <c r="C33" i="19" s="1"/>
  <c r="C34" i="19" s="1"/>
  <c r="AA37" i="19"/>
  <c r="AA36" i="19"/>
  <c r="M37" i="19"/>
  <c r="AA35" i="19"/>
  <c r="M36" i="19"/>
  <c r="X47" i="19" s="1"/>
  <c r="AA47" i="19" s="1"/>
  <c r="AA34" i="19"/>
  <c r="W32" i="19"/>
  <c r="AA31" i="19"/>
  <c r="M32" i="19"/>
  <c r="Z43" i="19" s="1"/>
  <c r="AA43" i="19" s="1"/>
  <c r="M31" i="19"/>
  <c r="Z42" i="19" s="1"/>
  <c r="AA42" i="19" s="1"/>
  <c r="M30" i="19"/>
  <c r="Z41" i="19" s="1"/>
  <c r="AA41" i="19" s="1"/>
  <c r="V28" i="19"/>
  <c r="U28" i="19"/>
  <c r="S28" i="19"/>
  <c r="R28" i="19"/>
  <c r="Q28" i="19"/>
  <c r="AA27" i="19"/>
  <c r="L28" i="19"/>
  <c r="K28" i="19"/>
  <c r="K38" i="19" s="1"/>
  <c r="J28" i="19"/>
  <c r="J38" i="19" s="1"/>
  <c r="I28" i="19"/>
  <c r="H28" i="19"/>
  <c r="G28" i="19"/>
  <c r="E28" i="19"/>
  <c r="AA26" i="19"/>
  <c r="M27" i="19"/>
  <c r="AA25" i="19"/>
  <c r="M26" i="19"/>
  <c r="M25" i="19"/>
  <c r="AA23" i="19"/>
  <c r="T22" i="19"/>
  <c r="AA22" i="19" s="1"/>
  <c r="F23" i="19"/>
  <c r="AA21" i="19"/>
  <c r="C22" i="19"/>
  <c r="M22" i="19" s="1"/>
  <c r="AA20" i="19"/>
  <c r="D21" i="19"/>
  <c r="M21" i="19" s="1"/>
  <c r="M20" i="19"/>
  <c r="V17" i="19"/>
  <c r="U17" i="19"/>
  <c r="S17" i="19"/>
  <c r="Q16" i="19"/>
  <c r="AA16" i="19" s="1"/>
  <c r="L17" i="19"/>
  <c r="M17" i="19" s="1"/>
  <c r="M16" i="19"/>
  <c r="R14" i="19"/>
  <c r="AA14" i="19" s="1"/>
  <c r="M15" i="19"/>
  <c r="T15" i="19" s="1"/>
  <c r="R13" i="19"/>
  <c r="AA13" i="19" s="1"/>
  <c r="M14" i="19"/>
  <c r="R12" i="19"/>
  <c r="AA12" i="19" s="1"/>
  <c r="M13" i="19"/>
  <c r="R11" i="19"/>
  <c r="AA11" i="19" s="1"/>
  <c r="M12" i="19"/>
  <c r="M11" i="19"/>
  <c r="X35" i="17"/>
  <c r="AA35" i="17" s="1"/>
  <c r="W33" i="17"/>
  <c r="X30" i="17"/>
  <c r="AA48" i="17"/>
  <c r="AA39" i="17"/>
  <c r="Z38" i="17"/>
  <c r="Y38" i="17"/>
  <c r="Y49" i="17" s="1"/>
  <c r="V38" i="17"/>
  <c r="U38" i="17"/>
  <c r="T38" i="17"/>
  <c r="S38" i="17"/>
  <c r="R38" i="17"/>
  <c r="Q38" i="17"/>
  <c r="AA37" i="17"/>
  <c r="AA36" i="17"/>
  <c r="AA34" i="17"/>
  <c r="W32" i="17"/>
  <c r="AA32" i="17" s="1"/>
  <c r="AA31" i="17"/>
  <c r="V28" i="17"/>
  <c r="U28" i="17"/>
  <c r="S28" i="17"/>
  <c r="R28" i="17"/>
  <c r="Q28" i="17"/>
  <c r="AA27" i="17"/>
  <c r="AA26" i="17"/>
  <c r="AA25" i="17"/>
  <c r="AA23" i="17"/>
  <c r="T22" i="17"/>
  <c r="AA21" i="17"/>
  <c r="AA20" i="17"/>
  <c r="V17" i="17"/>
  <c r="U17" i="17"/>
  <c r="S17" i="17"/>
  <c r="Q16" i="17"/>
  <c r="AA16" i="17" s="1"/>
  <c r="R14" i="17"/>
  <c r="AA14" i="17" s="1"/>
  <c r="R12" i="17"/>
  <c r="AA12" i="17" s="1"/>
  <c r="R11" i="17"/>
  <c r="AA11" i="17" s="1"/>
  <c r="W33" i="18"/>
  <c r="AA33" i="18" s="1"/>
  <c r="X31" i="18"/>
  <c r="AA31" i="18" s="1"/>
  <c r="X30" i="18"/>
  <c r="AA48" i="18"/>
  <c r="AA39" i="18"/>
  <c r="Z38" i="18"/>
  <c r="Y38" i="18"/>
  <c r="Y49" i="18" s="1"/>
  <c r="V38" i="18"/>
  <c r="H33" i="18" s="1"/>
  <c r="H34" i="18" s="1"/>
  <c r="U38" i="18"/>
  <c r="G33" i="18" s="1"/>
  <c r="G34" i="18" s="1"/>
  <c r="T38" i="18"/>
  <c r="F33" i="18" s="1"/>
  <c r="F34" i="18" s="1"/>
  <c r="S38" i="18"/>
  <c r="E33" i="18" s="1"/>
  <c r="E34" i="18" s="1"/>
  <c r="R38" i="18"/>
  <c r="D33" i="18" s="1"/>
  <c r="D34" i="18" s="1"/>
  <c r="Q38" i="18"/>
  <c r="AA37" i="18"/>
  <c r="AA36" i="18"/>
  <c r="M37" i="18"/>
  <c r="AA35" i="18"/>
  <c r="M36" i="18"/>
  <c r="X47" i="18" s="1"/>
  <c r="AA47" i="18" s="1"/>
  <c r="AA34" i="18"/>
  <c r="W32" i="18"/>
  <c r="C33" i="18"/>
  <c r="M32" i="18"/>
  <c r="Z43" i="18" s="1"/>
  <c r="AA43" i="18" s="1"/>
  <c r="M31" i="18"/>
  <c r="Z42" i="18" s="1"/>
  <c r="AA42" i="18" s="1"/>
  <c r="M30" i="18"/>
  <c r="Z41" i="18" s="1"/>
  <c r="AA41" i="18" s="1"/>
  <c r="V28" i="18"/>
  <c r="U28" i="18"/>
  <c r="S28" i="18"/>
  <c r="R28" i="18"/>
  <c r="Q28" i="18"/>
  <c r="AA27" i="18"/>
  <c r="L28" i="18"/>
  <c r="K28" i="18"/>
  <c r="K38" i="18" s="1"/>
  <c r="J28" i="18"/>
  <c r="J38" i="18" s="1"/>
  <c r="I28" i="18"/>
  <c r="H28" i="18"/>
  <c r="G28" i="18"/>
  <c r="E28" i="18"/>
  <c r="AA26" i="18"/>
  <c r="M27" i="18"/>
  <c r="AA25" i="18"/>
  <c r="D26" i="18"/>
  <c r="M26" i="18" s="1"/>
  <c r="D25" i="18"/>
  <c r="M25" i="18" s="1"/>
  <c r="AA23" i="18"/>
  <c r="F24" i="18"/>
  <c r="M24" i="18" s="1"/>
  <c r="T22" i="18"/>
  <c r="F23" i="18"/>
  <c r="M23" i="18" s="1"/>
  <c r="AA21" i="18"/>
  <c r="C22" i="18"/>
  <c r="C28" i="18" s="1"/>
  <c r="AA20" i="18"/>
  <c r="D21" i="18"/>
  <c r="M21" i="18" s="1"/>
  <c r="M20" i="18"/>
  <c r="V17" i="18"/>
  <c r="U17" i="18"/>
  <c r="S17" i="18"/>
  <c r="Q16" i="18"/>
  <c r="AA16" i="18" s="1"/>
  <c r="L17" i="18"/>
  <c r="M17" i="18" s="1"/>
  <c r="M16" i="18"/>
  <c r="R14" i="18"/>
  <c r="AA14" i="18" s="1"/>
  <c r="M15" i="18"/>
  <c r="T24" i="18" s="1"/>
  <c r="AA24" i="18" s="1"/>
  <c r="R13" i="18"/>
  <c r="AA13" i="18" s="1"/>
  <c r="M14" i="18"/>
  <c r="R12" i="18"/>
  <c r="AA12" i="18" s="1"/>
  <c r="M13" i="18"/>
  <c r="R11" i="18"/>
  <c r="AA11" i="18" s="1"/>
  <c r="M12" i="18"/>
  <c r="M11" i="18"/>
  <c r="V49" i="17" l="1"/>
  <c r="Q17" i="17"/>
  <c r="Q49" i="17" s="1"/>
  <c r="W38" i="17"/>
  <c r="W49" i="17" s="1"/>
  <c r="U49" i="17"/>
  <c r="V49" i="18"/>
  <c r="U49" i="18"/>
  <c r="M22" i="18"/>
  <c r="M28" i="18" s="1"/>
  <c r="G38" i="18"/>
  <c r="F28" i="18"/>
  <c r="F38" i="18" s="1"/>
  <c r="E38" i="18"/>
  <c r="L38" i="18"/>
  <c r="H38" i="18"/>
  <c r="S49" i="19"/>
  <c r="E38" i="19"/>
  <c r="Q17" i="19"/>
  <c r="Q49" i="19" s="1"/>
  <c r="F28" i="19"/>
  <c r="F38" i="19" s="1"/>
  <c r="D28" i="19"/>
  <c r="D38" i="19" s="1"/>
  <c r="H38" i="19"/>
  <c r="V49" i="19"/>
  <c r="T24" i="19"/>
  <c r="T28" i="19" s="1"/>
  <c r="AA28" i="19" s="1"/>
  <c r="T17" i="19"/>
  <c r="T49" i="19" s="1"/>
  <c r="AA15" i="19"/>
  <c r="U49" i="19"/>
  <c r="M23" i="19"/>
  <c r="M28" i="19" s="1"/>
  <c r="C28" i="19"/>
  <c r="C38" i="19" s="1"/>
  <c r="L38" i="19"/>
  <c r="R17" i="19"/>
  <c r="R49" i="19" s="1"/>
  <c r="L38" i="20"/>
  <c r="AA36" i="20"/>
  <c r="E38" i="20"/>
  <c r="G38" i="20"/>
  <c r="H38" i="20"/>
  <c r="U49" i="20"/>
  <c r="V49" i="20"/>
  <c r="R17" i="20"/>
  <c r="R49" i="20" s="1"/>
  <c r="M28" i="20"/>
  <c r="T24" i="20"/>
  <c r="T28" i="20" s="1"/>
  <c r="AA28" i="20" s="1"/>
  <c r="S49" i="20"/>
  <c r="X38" i="20"/>
  <c r="X49" i="20" s="1"/>
  <c r="D34" i="20"/>
  <c r="Q49" i="20"/>
  <c r="T17" i="20"/>
  <c r="AA15" i="20"/>
  <c r="C28" i="20"/>
  <c r="C38" i="20" s="1"/>
  <c r="D28" i="20"/>
  <c r="W38" i="20"/>
  <c r="AA11" i="20"/>
  <c r="AA16" i="20"/>
  <c r="F28" i="20"/>
  <c r="F38" i="20" s="1"/>
  <c r="W38" i="19"/>
  <c r="AA38" i="19" s="1"/>
  <c r="AA30" i="19"/>
  <c r="W49" i="19"/>
  <c r="G34" i="19"/>
  <c r="G38" i="19" s="1"/>
  <c r="AA32" i="19"/>
  <c r="S49" i="17"/>
  <c r="X38" i="17"/>
  <c r="X49" i="17" s="1"/>
  <c r="AA33" i="17"/>
  <c r="AA30" i="17"/>
  <c r="AA22" i="17"/>
  <c r="S49" i="18"/>
  <c r="W38" i="18"/>
  <c r="I33" i="18" s="1"/>
  <c r="I34" i="18" s="1"/>
  <c r="I38" i="18" s="1"/>
  <c r="X38" i="18"/>
  <c r="X49" i="18" s="1"/>
  <c r="AA30" i="18"/>
  <c r="T28" i="18"/>
  <c r="AA28" i="18" s="1"/>
  <c r="D28" i="18"/>
  <c r="D38" i="18" s="1"/>
  <c r="AA32" i="18"/>
  <c r="Q17" i="18"/>
  <c r="C34" i="18"/>
  <c r="R17" i="18"/>
  <c r="R49" i="18" s="1"/>
  <c r="T15" i="18"/>
  <c r="AA22" i="18"/>
  <c r="H33" i="17"/>
  <c r="H34" i="17" s="1"/>
  <c r="G33" i="17"/>
  <c r="G34" i="17" s="1"/>
  <c r="G38" i="17" s="1"/>
  <c r="D33" i="17"/>
  <c r="D34" i="17" s="1"/>
  <c r="M37" i="17"/>
  <c r="M36" i="17"/>
  <c r="X47" i="17" s="1"/>
  <c r="AA47" i="17" s="1"/>
  <c r="F33" i="17"/>
  <c r="F34" i="17" s="1"/>
  <c r="E33" i="17"/>
  <c r="E34" i="17" s="1"/>
  <c r="C33" i="17"/>
  <c r="M32" i="17"/>
  <c r="Z43" i="17" s="1"/>
  <c r="AA43" i="17" s="1"/>
  <c r="M31" i="17"/>
  <c r="Z42" i="17" s="1"/>
  <c r="AA42" i="17" s="1"/>
  <c r="M30" i="17"/>
  <c r="Z41" i="17" s="1"/>
  <c r="AA41" i="17" s="1"/>
  <c r="L28" i="17"/>
  <c r="K28" i="17"/>
  <c r="K38" i="17" s="1"/>
  <c r="J28" i="17"/>
  <c r="J38" i="17" s="1"/>
  <c r="I28" i="17"/>
  <c r="H28" i="17"/>
  <c r="G28" i="17"/>
  <c r="E28" i="17"/>
  <c r="D28" i="17"/>
  <c r="M27" i="17"/>
  <c r="M26" i="17"/>
  <c r="M25" i="17"/>
  <c r="F23" i="17"/>
  <c r="M23" i="17" s="1"/>
  <c r="C22" i="17"/>
  <c r="M22" i="17" s="1"/>
  <c r="M21" i="17"/>
  <c r="M20" i="17"/>
  <c r="M16" i="17"/>
  <c r="M15" i="17"/>
  <c r="M14" i="17"/>
  <c r="L13" i="17"/>
  <c r="M12" i="17"/>
  <c r="M11" i="17"/>
  <c r="E38" i="17" l="1"/>
  <c r="M13" i="17"/>
  <c r="R13" i="17"/>
  <c r="H38" i="17"/>
  <c r="F24" i="17"/>
  <c r="T15" i="17"/>
  <c r="T24" i="17"/>
  <c r="C28" i="17"/>
  <c r="L17" i="17"/>
  <c r="L38" i="17" s="1"/>
  <c r="D38" i="17"/>
  <c r="W49" i="18"/>
  <c r="I33" i="19"/>
  <c r="I34" i="19" s="1"/>
  <c r="I38" i="19" s="1"/>
  <c r="AA24" i="19"/>
  <c r="AA17" i="19"/>
  <c r="T49" i="20"/>
  <c r="AA24" i="20"/>
  <c r="AA17" i="20"/>
  <c r="AA38" i="20"/>
  <c r="D38" i="20"/>
  <c r="I33" i="20"/>
  <c r="W49" i="20"/>
  <c r="AA38" i="17"/>
  <c r="AA38" i="18"/>
  <c r="M33" i="18"/>
  <c r="Z44" i="18" s="1"/>
  <c r="AA44" i="18" s="1"/>
  <c r="T17" i="18"/>
  <c r="T49" i="18" s="1"/>
  <c r="AA15" i="18"/>
  <c r="C38" i="18"/>
  <c r="M34" i="18"/>
  <c r="Q49" i="18"/>
  <c r="F28" i="17"/>
  <c r="F38" i="17" s="1"/>
  <c r="M24" i="17"/>
  <c r="M28" i="17" s="1"/>
  <c r="C34" i="17"/>
  <c r="AA24" i="17" l="1"/>
  <c r="T28" i="17"/>
  <c r="AA28" i="17" s="1"/>
  <c r="M17" i="17"/>
  <c r="AA13" i="17"/>
  <c r="R17" i="17"/>
  <c r="T17" i="17"/>
  <c r="AA15" i="17"/>
  <c r="AA17" i="18"/>
  <c r="M34" i="19"/>
  <c r="Z45" i="19" s="1"/>
  <c r="M33" i="19"/>
  <c r="Z44" i="19" s="1"/>
  <c r="AA44" i="19" s="1"/>
  <c r="I34" i="20"/>
  <c r="M33" i="20"/>
  <c r="Z44" i="20" s="1"/>
  <c r="AA44" i="20" s="1"/>
  <c r="Z45" i="18"/>
  <c r="M38" i="18"/>
  <c r="C38" i="17"/>
  <c r="I33" i="17"/>
  <c r="T49" i="17" l="1"/>
  <c r="R49" i="17"/>
  <c r="AA17" i="17"/>
  <c r="M38" i="19"/>
  <c r="I38" i="20"/>
  <c r="M34" i="20"/>
  <c r="AA45" i="19"/>
  <c r="AA49" i="19" s="1"/>
  <c r="Z49" i="19"/>
  <c r="AA45" i="18"/>
  <c r="AA49" i="18" s="1"/>
  <c r="Z49" i="18"/>
  <c r="I34" i="17"/>
  <c r="M33" i="17"/>
  <c r="Z44" i="17" s="1"/>
  <c r="AA44" i="17" s="1"/>
  <c r="Z45" i="20" l="1"/>
  <c r="M38" i="20"/>
  <c r="I38" i="17"/>
  <c r="M34" i="17"/>
  <c r="Z45" i="17" s="1"/>
  <c r="AA45" i="20" l="1"/>
  <c r="AA49" i="20" s="1"/>
  <c r="Z49" i="20"/>
  <c r="Z49" i="17"/>
  <c r="AA45" i="17"/>
  <c r="AA49" i="17" s="1"/>
  <c r="M38" i="17"/>
</calcChain>
</file>

<file path=xl/sharedStrings.xml><?xml version="1.0" encoding="utf-8"?>
<sst xmlns="http://schemas.openxmlformats.org/spreadsheetml/2006/main" count="501" uniqueCount="113">
  <si>
    <t>Industries (by ISIC)</t>
  </si>
  <si>
    <t>Households</t>
  </si>
  <si>
    <t>Intermediate consumption, Use of energy resources, receipt of energy losses</t>
  </si>
  <si>
    <t>Final Consumption</t>
  </si>
  <si>
    <t>Accumulation</t>
  </si>
  <si>
    <t>Agriculture Forestry &amp; Fishery</t>
  </si>
  <si>
    <t>Manufacturing</t>
  </si>
  <si>
    <t>Transportation &amp; Storage</t>
  </si>
  <si>
    <t>Other Industries</t>
  </si>
  <si>
    <t>Accumulation (in Million Tonnes)</t>
  </si>
  <si>
    <t>Total</t>
  </si>
  <si>
    <t>(ISIC A)</t>
  </si>
  <si>
    <t>(ISIC C)</t>
  </si>
  <si>
    <t>(ISIC D)</t>
  </si>
  <si>
    <t>( ISIC M)</t>
  </si>
  <si>
    <t>Export</t>
  </si>
  <si>
    <t>(ISIC B)</t>
  </si>
  <si>
    <t>Energy from natural inputs:</t>
  </si>
  <si>
    <t>Natural resource inputs</t>
  </si>
  <si>
    <t>Crude Oil</t>
  </si>
  <si>
    <t>Natural Gas</t>
  </si>
  <si>
    <t>Coal</t>
  </si>
  <si>
    <t>Lignite</t>
  </si>
  <si>
    <t>Inputs of energy form renewable sources</t>
  </si>
  <si>
    <t>Energy Products:</t>
  </si>
  <si>
    <t>Production of energy products by SIEC class:</t>
  </si>
  <si>
    <t>Natural gas</t>
  </si>
  <si>
    <t>Biofuels</t>
  </si>
  <si>
    <t>Electricity</t>
  </si>
  <si>
    <t>Nuclear fuels and other fuels</t>
  </si>
  <si>
    <t>Petroleum Products</t>
  </si>
  <si>
    <t>Energy Residuals:</t>
  </si>
  <si>
    <t>End-use of energy products by SIEC class:</t>
  </si>
  <si>
    <t>Other Residual Flows:</t>
  </si>
  <si>
    <t>Residuals from end-use for non-energy purposes</t>
  </si>
  <si>
    <t>Energy from solid waste</t>
  </si>
  <si>
    <t>TOTAL SUPPLY</t>
  </si>
  <si>
    <t>End-use of energy products for non-energy purposes</t>
  </si>
  <si>
    <t>TOTAL USE</t>
  </si>
  <si>
    <t>Inputs of energy form renewable sources (Nuclear)-Electricity</t>
  </si>
  <si>
    <t>Distribution</t>
  </si>
  <si>
    <t>Extraction</t>
  </si>
  <si>
    <t xml:space="preserve">Total energy residuals </t>
  </si>
  <si>
    <t>Other Losses (Coal Reject/other residuals)</t>
  </si>
  <si>
    <t xml:space="preserve">Total </t>
  </si>
  <si>
    <t>Total End Use for Energy purposes</t>
  </si>
  <si>
    <t>Other Energy Residuals</t>
  </si>
  <si>
    <t xml:space="preserve">Flows from the Environment </t>
  </si>
  <si>
    <t xml:space="preserve">Flows from the rest of the world (Imports) </t>
  </si>
  <si>
    <t xml:space="preserve"> (ISIC B)</t>
  </si>
  <si>
    <t>Production (Incl. household own account) &amp; generation of residuals</t>
  </si>
  <si>
    <t xml:space="preserve">Flows to the Environment </t>
  </si>
  <si>
    <t>Total Transformed Energy</t>
  </si>
  <si>
    <t>Annexure 2.2</t>
  </si>
  <si>
    <t>Physical Supply Table of Energy-2015-16</t>
  </si>
  <si>
    <t>Physical Use Table of Energy-2015-16</t>
  </si>
  <si>
    <t>Physical Supply Table of Energy-2016-17</t>
  </si>
  <si>
    <t>Physical Use Table of Energy-2016-17</t>
  </si>
  <si>
    <t>Physical Supply Table of Energy-2017-18</t>
  </si>
  <si>
    <t>Physical Use Table of Energy-2017-18</t>
  </si>
  <si>
    <t>Annexure 2.3</t>
  </si>
  <si>
    <t>Annexure 2.4</t>
  </si>
  <si>
    <t>Annexure 2.5</t>
  </si>
  <si>
    <t>Annexure 2.6</t>
  </si>
  <si>
    <t>Annexure 2.7</t>
  </si>
  <si>
    <t>Annexure 2.8</t>
  </si>
  <si>
    <t>Annexure 2.9</t>
  </si>
  <si>
    <t>Physical Supply Table of Energy-2018-19</t>
  </si>
  <si>
    <t>Physical Use Table of Energy-2018-19</t>
  </si>
  <si>
    <t>PJ: Petajoules</t>
  </si>
  <si>
    <t>Electricity, gas, steam &amp; air conditioning supply</t>
  </si>
  <si>
    <t>Mining&amp; Quarrying</t>
  </si>
  <si>
    <t>PHYSICAL SUPPLY TABLE (Unit: PJ)</t>
  </si>
  <si>
    <t>Other natural inputs (Biofuels)</t>
  </si>
  <si>
    <t>Other natural inputs</t>
  </si>
  <si>
    <t>PHYSICAL USE TABLE (Unit: PJ)</t>
  </si>
  <si>
    <t xml:space="preserve">Electricity, gas, steam &amp; air conditioning supply  </t>
  </si>
  <si>
    <t>Transformation of energy products by SIEC class</t>
  </si>
  <si>
    <r>
      <rPr>
        <b/>
        <sz val="14"/>
        <rFont val="Calibri"/>
        <family val="2"/>
        <scheme val="minor"/>
      </rPr>
      <t>Electricity</t>
    </r>
    <r>
      <rPr>
        <b/>
        <sz val="11"/>
        <rFont val="Calibri"/>
        <family val="2"/>
        <scheme val="minor"/>
      </rPr>
      <t xml:space="preserve">, gas, steam &amp; air conditioning supply  </t>
    </r>
  </si>
  <si>
    <t>Annexure 2.1</t>
  </si>
  <si>
    <t>Conversion Factors</t>
  </si>
  <si>
    <t xml:space="preserve">1 kilogram </t>
  </si>
  <si>
    <t>= 2.2046 pounds</t>
  </si>
  <si>
    <t xml:space="preserve">1 Pound </t>
  </si>
  <si>
    <t>= 454 gm.</t>
  </si>
  <si>
    <t xml:space="preserve">1 Cubic metres </t>
  </si>
  <si>
    <t>= 35.3 cubic feet (gas)</t>
  </si>
  <si>
    <t xml:space="preserve">1 Metric ton </t>
  </si>
  <si>
    <t>= 1 Tonne =1000 kilogram</t>
  </si>
  <si>
    <t xml:space="preserve">1 Joule </t>
  </si>
  <si>
    <t>= 0.23884 calories</t>
  </si>
  <si>
    <t xml:space="preserve">1 Mega Joule </t>
  </si>
  <si>
    <t>= 10^6 joules = 238.84 x 10^3 calories</t>
  </si>
  <si>
    <t xml:space="preserve">1 Giga Joule </t>
  </si>
  <si>
    <t>= 10^9 joules = 238.84 x 10^6 calories</t>
  </si>
  <si>
    <t xml:space="preserve">1 Tera Joule </t>
  </si>
  <si>
    <t>= 10^12 joules = 238.84 x 10^9 calories</t>
  </si>
  <si>
    <t xml:space="preserve">1 Peta Joule </t>
  </si>
  <si>
    <t>= 10^15 joules = 238.84 x 10^12 calories</t>
  </si>
  <si>
    <t xml:space="preserve">One million tonnes of Coal </t>
  </si>
  <si>
    <t>= 15.13 petajoules of energy</t>
  </si>
  <si>
    <t>One million tonnes of Lignite</t>
  </si>
  <si>
    <t>= 11.37 petajoules of energy</t>
  </si>
  <si>
    <t xml:space="preserve">One million tonnes of oil equivalent (MTOE) </t>
  </si>
  <si>
    <t>= 41.87 petajoules of energy</t>
  </si>
  <si>
    <t xml:space="preserve">One billion cubic meter of natural gas </t>
  </si>
  <si>
    <t>= 38.52 petajoules of energy</t>
  </si>
  <si>
    <t xml:space="preserve">One million cubic meter of natural gas </t>
  </si>
  <si>
    <t>= 38.52 terajoules of energy</t>
  </si>
  <si>
    <t xml:space="preserve">One billion-kilowatt hour of electricity </t>
  </si>
  <si>
    <t>= 3.60 petajoules of energy</t>
  </si>
  <si>
    <t>Source: Energy Statistics India 2022, MoSPI</t>
  </si>
  <si>
    <t xml:space="preserve">Note: Grey Cells are nil by definition.  Total may not match due to rounding off.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</si>
</sst>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mbria"/>
      <family val="1"/>
    </font>
    <font>
      <b/>
      <sz val="11"/>
      <name val="Cambria"/>
      <family val="1"/>
    </font>
    <font>
      <i/>
      <sz val="11"/>
      <name val="Cambria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mbria"/>
      <family val="1"/>
    </font>
    <font>
      <b/>
      <sz val="12"/>
      <color theme="1"/>
      <name val="Cambria"/>
      <family val="1"/>
    </font>
    <font>
      <b/>
      <i/>
      <sz val="12"/>
      <color rgb="FF365F93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i/>
      <sz val="11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90">
    <xf numFmtId="0" fontId="0" fillId="0" borderId="0" xfId="0"/>
    <xf numFmtId="0" fontId="2" fillId="0" borderId="1" xfId="0" applyFont="1" applyBorder="1"/>
    <xf numFmtId="0" fontId="2" fillId="0" borderId="0" xfId="0" applyFont="1"/>
    <xf numFmtId="3" fontId="2" fillId="0" borderId="1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2" borderId="1" xfId="0" applyFont="1" applyFill="1" applyBorder="1"/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 indent="2"/>
    </xf>
    <xf numFmtId="0" fontId="3" fillId="0" borderId="1" xfId="0" applyFont="1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1" fontId="2" fillId="0" borderId="0" xfId="0" applyNumberFormat="1" applyFont="1"/>
    <xf numFmtId="0" fontId="4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5" xfId="0" applyFont="1" applyFill="1" applyBorder="1" applyAlignment="1">
      <alignment horizontal="left" indent="3"/>
    </xf>
    <xf numFmtId="0" fontId="4" fillId="0" borderId="4" xfId="0" applyFont="1" applyBorder="1" applyAlignment="1">
      <alignment horizontal="left"/>
    </xf>
    <xf numFmtId="0" fontId="2" fillId="0" borderId="0" xfId="0" applyFont="1" applyBorder="1"/>
    <xf numFmtId="0" fontId="2" fillId="0" borderId="3" xfId="0" applyFont="1" applyFill="1" applyBorder="1" applyAlignment="1">
      <alignment horizontal="left" indent="1"/>
    </xf>
    <xf numFmtId="0" fontId="3" fillId="0" borderId="4" xfId="0" applyFont="1" applyBorder="1"/>
    <xf numFmtId="0" fontId="3" fillId="0" borderId="0" xfId="0" applyFont="1"/>
    <xf numFmtId="0" fontId="2" fillId="0" borderId="3" xfId="0" applyFont="1" applyFill="1" applyBorder="1" applyAlignment="1">
      <alignment horizontal="left" indent="2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indent="2"/>
    </xf>
    <xf numFmtId="0" fontId="2" fillId="0" borderId="1" xfId="0" applyFont="1" applyFill="1" applyBorder="1" applyAlignment="1">
      <alignment horizontal="left" indent="3"/>
    </xf>
    <xf numFmtId="0" fontId="2" fillId="0" borderId="1" xfId="0" applyFont="1" applyFill="1" applyBorder="1" applyAlignment="1">
      <alignment horizontal="left" indent="1"/>
    </xf>
    <xf numFmtId="1" fontId="3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4" borderId="3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3" fontId="2" fillId="3" borderId="2" xfId="0" applyNumberFormat="1" applyFont="1" applyFill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3" borderId="3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 indent="2"/>
    </xf>
    <xf numFmtId="3" fontId="2" fillId="0" borderId="1" xfId="1" applyNumberFormat="1" applyFont="1" applyFill="1" applyBorder="1" applyAlignment="1">
      <alignment horizontal="right" vertic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6" fillId="2" borderId="1" xfId="0" applyFont="1" applyFill="1" applyBorder="1"/>
    <xf numFmtId="0" fontId="7" fillId="0" borderId="0" xfId="0" applyFont="1" applyBorder="1" applyAlignment="1">
      <alignment horizontal="center"/>
    </xf>
    <xf numFmtId="0" fontId="7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 indent="1"/>
    </xf>
    <xf numFmtId="3" fontId="6" fillId="3" borderId="1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1" xfId="0" applyNumberFormat="1" applyFont="1" applyFill="1" applyBorder="1" applyAlignment="1">
      <alignment horizontal="left" indent="1"/>
    </xf>
    <xf numFmtId="3" fontId="6" fillId="0" borderId="1" xfId="0" applyNumberFormat="1" applyFont="1" applyFill="1" applyBorder="1"/>
    <xf numFmtId="0" fontId="6" fillId="0" borderId="1" xfId="0" applyFont="1" applyBorder="1" applyAlignment="1">
      <alignment horizontal="left" indent="2"/>
    </xf>
    <xf numFmtId="3" fontId="6" fillId="0" borderId="1" xfId="0" applyNumberFormat="1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left" indent="2"/>
    </xf>
    <xf numFmtId="3" fontId="7" fillId="0" borderId="1" xfId="0" applyNumberFormat="1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indent="1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right"/>
    </xf>
    <xf numFmtId="3" fontId="7" fillId="0" borderId="1" xfId="0" applyNumberFormat="1" applyFont="1" applyFill="1" applyBorder="1" applyAlignment="1">
      <alignment horizontal="left" indent="1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/>
    <xf numFmtId="0" fontId="8" fillId="0" borderId="1" xfId="0" applyFont="1" applyBorder="1" applyAlignment="1">
      <alignment horizontal="left" indent="1"/>
    </xf>
    <xf numFmtId="3" fontId="8" fillId="0" borderId="1" xfId="0" applyNumberFormat="1" applyFont="1" applyFill="1" applyBorder="1" applyAlignment="1">
      <alignment horizontal="left"/>
    </xf>
    <xf numFmtId="1" fontId="6" fillId="0" borderId="0" xfId="0" applyNumberFormat="1" applyFont="1"/>
    <xf numFmtId="1" fontId="7" fillId="0" borderId="0" xfId="0" applyNumberFormat="1" applyFont="1" applyAlignment="1">
      <alignment horizontal="center"/>
    </xf>
    <xf numFmtId="3" fontId="7" fillId="0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left" indent="2"/>
    </xf>
    <xf numFmtId="0" fontId="6" fillId="0" borderId="1" xfId="0" applyFont="1" applyFill="1" applyBorder="1" applyAlignment="1">
      <alignment horizontal="left" indent="3"/>
    </xf>
    <xf numFmtId="0" fontId="6" fillId="0" borderId="1" xfId="0" applyFont="1" applyFill="1" applyBorder="1" applyAlignment="1">
      <alignment horizontal="left" indent="1"/>
    </xf>
    <xf numFmtId="3" fontId="6" fillId="0" borderId="1" xfId="1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left" indent="3"/>
    </xf>
    <xf numFmtId="3" fontId="7" fillId="0" borderId="1" xfId="0" applyNumberFormat="1" applyFont="1" applyFill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Border="1"/>
    <xf numFmtId="0" fontId="10" fillId="2" borderId="1" xfId="0" applyFont="1" applyFill="1" applyBorder="1" applyAlignment="1">
      <alignment horizontal="center" vertical="center" wrapText="1"/>
    </xf>
    <xf numFmtId="0" fontId="9" fillId="0" borderId="8" xfId="0" applyFont="1" applyBorder="1"/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9" fillId="2" borderId="1" xfId="0" applyFont="1" applyFill="1" applyBorder="1"/>
    <xf numFmtId="0" fontId="10" fillId="0" borderId="0" xfId="0" applyFont="1" applyBorder="1" applyAlignment="1">
      <alignment horizontal="center"/>
    </xf>
    <xf numFmtId="0" fontId="10" fillId="0" borderId="1" xfId="0" applyFont="1" applyBorder="1"/>
    <xf numFmtId="3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 indent="1"/>
    </xf>
    <xf numFmtId="3" fontId="9" fillId="3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left" indent="2"/>
    </xf>
    <xf numFmtId="3" fontId="9" fillId="0" borderId="0" xfId="0" applyNumberFormat="1" applyFont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9" fillId="0" borderId="2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horizontal="right"/>
    </xf>
    <xf numFmtId="3" fontId="9" fillId="0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left" indent="1"/>
    </xf>
    <xf numFmtId="3" fontId="10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/>
    </xf>
    <xf numFmtId="3" fontId="10" fillId="3" borderId="1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left" indent="1"/>
    </xf>
    <xf numFmtId="1" fontId="10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left"/>
    </xf>
    <xf numFmtId="1" fontId="9" fillId="0" borderId="0" xfId="0" applyNumberFormat="1" applyFont="1"/>
    <xf numFmtId="0" fontId="10" fillId="0" borderId="1" xfId="0" applyFont="1" applyBorder="1" applyAlignment="1">
      <alignment horizontal="left" indent="2"/>
    </xf>
    <xf numFmtId="0" fontId="10" fillId="0" borderId="1" xfId="0" applyFont="1" applyBorder="1" applyAlignment="1">
      <alignment horizontal="left"/>
    </xf>
    <xf numFmtId="3" fontId="10" fillId="0" borderId="2" xfId="0" applyNumberFormat="1" applyFont="1" applyFill="1" applyBorder="1" applyAlignment="1">
      <alignment horizontal="right"/>
    </xf>
    <xf numFmtId="3" fontId="10" fillId="3" borderId="2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left"/>
    </xf>
    <xf numFmtId="3" fontId="9" fillId="0" borderId="4" xfId="0" applyNumberFormat="1" applyFont="1" applyFill="1" applyBorder="1" applyAlignment="1">
      <alignment horizontal="right"/>
    </xf>
    <xf numFmtId="3" fontId="9" fillId="0" borderId="6" xfId="0" applyNumberFormat="1" applyFont="1" applyFill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 horizontal="right"/>
    </xf>
    <xf numFmtId="0" fontId="9" fillId="0" borderId="1" xfId="0" applyFont="1" applyFill="1" applyBorder="1" applyAlignment="1">
      <alignment horizontal="left" indent="3"/>
    </xf>
    <xf numFmtId="3" fontId="9" fillId="0" borderId="3" xfId="0" applyNumberFormat="1" applyFont="1" applyFill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3" fontId="9" fillId="4" borderId="3" xfId="0" applyNumberFormat="1" applyFont="1" applyFill="1" applyBorder="1" applyAlignment="1">
      <alignment horizontal="right"/>
    </xf>
    <xf numFmtId="3" fontId="9" fillId="0" borderId="5" xfId="0" applyNumberFormat="1" applyFont="1" applyFill="1" applyBorder="1" applyAlignment="1">
      <alignment horizontal="right"/>
    </xf>
    <xf numFmtId="3" fontId="9" fillId="4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indent="1"/>
    </xf>
    <xf numFmtId="0" fontId="9" fillId="0" borderId="5" xfId="0" applyFont="1" applyFill="1" applyBorder="1" applyAlignment="1">
      <alignment horizontal="left" indent="3"/>
    </xf>
    <xf numFmtId="0" fontId="9" fillId="0" borderId="3" xfId="0" applyFont="1" applyFill="1" applyBorder="1" applyAlignment="1">
      <alignment horizontal="left" indent="2"/>
    </xf>
    <xf numFmtId="3" fontId="9" fillId="3" borderId="2" xfId="0" applyNumberFormat="1" applyFont="1" applyFill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0" fontId="9" fillId="0" borderId="3" xfId="0" applyFont="1" applyFill="1" applyBorder="1" applyAlignment="1">
      <alignment horizontal="left" indent="1"/>
    </xf>
    <xf numFmtId="3" fontId="10" fillId="0" borderId="2" xfId="0" applyNumberFormat="1" applyFont="1" applyBorder="1" applyAlignment="1">
      <alignment horizontal="right"/>
    </xf>
    <xf numFmtId="0" fontId="10" fillId="0" borderId="4" xfId="0" applyFont="1" applyBorder="1"/>
    <xf numFmtId="3" fontId="9" fillId="0" borderId="4" xfId="0" applyNumberFormat="1" applyFont="1" applyBorder="1" applyAlignment="1">
      <alignment horizontal="right"/>
    </xf>
    <xf numFmtId="3" fontId="9" fillId="3" borderId="3" xfId="0" applyNumberFormat="1" applyFont="1" applyFill="1" applyBorder="1" applyAlignment="1">
      <alignment horizontal="right"/>
    </xf>
    <xf numFmtId="0" fontId="10" fillId="0" borderId="1" xfId="0" applyFont="1" applyBorder="1" applyAlignment="1">
      <alignment vertical="center"/>
    </xf>
    <xf numFmtId="0" fontId="12" fillId="0" borderId="0" xfId="0" applyFont="1"/>
    <xf numFmtId="0" fontId="10" fillId="2" borderId="1" xfId="0" applyFont="1" applyFill="1" applyBorder="1" applyAlignment="1">
      <alignment horizontal="left" vertical="top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/>
    </xf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top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</cellXfs>
  <cellStyles count="2">
    <cellStyle name="Normal" xfId="0" builtinId="0"/>
    <cellStyle name="Normal 2" xfId="1" xr:uid="{AFCA4F32-94C2-4655-A8B4-6D3D0E189BBD}"/>
  </cellStyles>
  <dxfs count="3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262E0-B438-4B8C-9DEE-DFA42726D965}">
  <dimension ref="A1:B24"/>
  <sheetViews>
    <sheetView view="pageBreakPreview" zoomScale="120" zoomScaleNormal="100" zoomScaleSheetLayoutView="120" workbookViewId="0">
      <selection activeCell="H19" sqref="H19"/>
    </sheetView>
  </sheetViews>
  <sheetFormatPr defaultRowHeight="15" x14ac:dyDescent="0.25"/>
  <cols>
    <col min="1" max="1" width="41.28515625" customWidth="1"/>
    <col min="2" max="2" width="39.85546875" customWidth="1"/>
  </cols>
  <sheetData>
    <row r="1" spans="1:2" ht="15.75" x14ac:dyDescent="0.25">
      <c r="B1" s="185" t="s">
        <v>79</v>
      </c>
    </row>
    <row r="2" spans="1:2" ht="15.75" x14ac:dyDescent="0.25">
      <c r="B2" s="185"/>
    </row>
    <row r="3" spans="1:2" ht="15.75" x14ac:dyDescent="0.25">
      <c r="B3" s="185"/>
    </row>
    <row r="4" spans="1:2" ht="15.75" x14ac:dyDescent="0.25">
      <c r="A4" s="186" t="s">
        <v>80</v>
      </c>
    </row>
    <row r="5" spans="1:2" ht="15.75" x14ac:dyDescent="0.25">
      <c r="A5" s="186"/>
    </row>
    <row r="6" spans="1:2" ht="15.75" x14ac:dyDescent="0.25">
      <c r="A6" s="186"/>
    </row>
    <row r="7" spans="1:2" x14ac:dyDescent="0.25">
      <c r="A7" s="187" t="s">
        <v>81</v>
      </c>
      <c r="B7" s="187" t="s">
        <v>82</v>
      </c>
    </row>
    <row r="8" spans="1:2" x14ac:dyDescent="0.25">
      <c r="A8" s="187" t="s">
        <v>83</v>
      </c>
      <c r="B8" s="187" t="s">
        <v>84</v>
      </c>
    </row>
    <row r="9" spans="1:2" x14ac:dyDescent="0.25">
      <c r="A9" s="187" t="s">
        <v>85</v>
      </c>
      <c r="B9" s="187" t="s">
        <v>86</v>
      </c>
    </row>
    <row r="10" spans="1:2" x14ac:dyDescent="0.25">
      <c r="A10" s="187" t="s">
        <v>87</v>
      </c>
      <c r="B10" s="187" t="s">
        <v>88</v>
      </c>
    </row>
    <row r="11" spans="1:2" x14ac:dyDescent="0.25">
      <c r="A11" s="187" t="s">
        <v>89</v>
      </c>
      <c r="B11" s="187" t="s">
        <v>90</v>
      </c>
    </row>
    <row r="12" spans="1:2" x14ac:dyDescent="0.25">
      <c r="A12" s="187" t="s">
        <v>91</v>
      </c>
      <c r="B12" s="187" t="s">
        <v>92</v>
      </c>
    </row>
    <row r="13" spans="1:2" x14ac:dyDescent="0.25">
      <c r="A13" s="187" t="s">
        <v>93</v>
      </c>
      <c r="B13" s="187" t="s">
        <v>94</v>
      </c>
    </row>
    <row r="14" spans="1:2" x14ac:dyDescent="0.25">
      <c r="A14" s="187" t="s">
        <v>95</v>
      </c>
      <c r="B14" s="187" t="s">
        <v>96</v>
      </c>
    </row>
    <row r="15" spans="1:2" x14ac:dyDescent="0.25">
      <c r="A15" s="187" t="s">
        <v>97</v>
      </c>
      <c r="B15" s="187" t="s">
        <v>98</v>
      </c>
    </row>
    <row r="16" spans="1:2" x14ac:dyDescent="0.25">
      <c r="A16" s="187" t="s">
        <v>99</v>
      </c>
      <c r="B16" s="187" t="s">
        <v>100</v>
      </c>
    </row>
    <row r="17" spans="1:2" x14ac:dyDescent="0.25">
      <c r="A17" s="187" t="s">
        <v>101</v>
      </c>
      <c r="B17" s="187" t="s">
        <v>102</v>
      </c>
    </row>
    <row r="18" spans="1:2" x14ac:dyDescent="0.25">
      <c r="A18" s="187" t="s">
        <v>103</v>
      </c>
      <c r="B18" s="187" t="s">
        <v>104</v>
      </c>
    </row>
    <row r="19" spans="1:2" x14ac:dyDescent="0.25">
      <c r="A19" s="187" t="s">
        <v>105</v>
      </c>
      <c r="B19" s="187" t="s">
        <v>106</v>
      </c>
    </row>
    <row r="20" spans="1:2" x14ac:dyDescent="0.25">
      <c r="A20" s="187" t="s">
        <v>107</v>
      </c>
      <c r="B20" s="187" t="s">
        <v>108</v>
      </c>
    </row>
    <row r="21" spans="1:2" x14ac:dyDescent="0.25">
      <c r="A21" s="187" t="s">
        <v>109</v>
      </c>
      <c r="B21" s="187" t="s">
        <v>110</v>
      </c>
    </row>
    <row r="22" spans="1:2" x14ac:dyDescent="0.25">
      <c r="A22" s="188"/>
    </row>
    <row r="23" spans="1:2" x14ac:dyDescent="0.25">
      <c r="A23" s="188"/>
    </row>
    <row r="24" spans="1:2" x14ac:dyDescent="0.25">
      <c r="A24" s="189" t="s">
        <v>111</v>
      </c>
    </row>
  </sheetData>
  <pageMargins left="0.7" right="0.7" top="0.75" bottom="0.75" header="0.3" footer="0.3"/>
  <pageSetup paperSize="9" scale="9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78DC7-05AF-4655-8F42-4396E004B624}">
  <dimension ref="A1:AE51"/>
  <sheetViews>
    <sheetView view="pageBreakPreview" topLeftCell="A8" zoomScale="55" zoomScaleNormal="130" zoomScaleSheetLayoutView="55" workbookViewId="0">
      <selection activeCell="P50" sqref="P50"/>
    </sheetView>
  </sheetViews>
  <sheetFormatPr defaultRowHeight="15.75" x14ac:dyDescent="0.25"/>
  <cols>
    <col min="1" max="1" width="9.140625" style="102"/>
    <col min="2" max="2" width="64.85546875" style="102" customWidth="1"/>
    <col min="3" max="13" width="13.7109375" style="102" customWidth="1"/>
    <col min="14" max="14" width="9.140625" style="102"/>
    <col min="15" max="15" width="9.140625" style="104"/>
    <col min="16" max="16" width="56.5703125" style="102" customWidth="1"/>
    <col min="17" max="27" width="13.7109375" style="102" customWidth="1"/>
    <col min="28" max="16384" width="9.140625" style="102"/>
  </cols>
  <sheetData>
    <row r="1" spans="1:30" x14ac:dyDescent="0.25">
      <c r="K1" s="103" t="s">
        <v>53</v>
      </c>
      <c r="Y1" s="103" t="s">
        <v>60</v>
      </c>
    </row>
    <row r="2" spans="1:30" x14ac:dyDescent="0.25">
      <c r="B2" s="103" t="s">
        <v>54</v>
      </c>
      <c r="P2" s="103" t="s">
        <v>55</v>
      </c>
    </row>
    <row r="5" spans="1:30" ht="60" customHeight="1" x14ac:dyDescent="0.25">
      <c r="A5" s="105"/>
      <c r="B5" s="161" t="s">
        <v>72</v>
      </c>
      <c r="C5" s="162" t="s">
        <v>50</v>
      </c>
      <c r="D5" s="163"/>
      <c r="E5" s="163"/>
      <c r="F5" s="163"/>
      <c r="G5" s="163"/>
      <c r="H5" s="163"/>
      <c r="I5" s="164"/>
      <c r="J5" s="168" t="s">
        <v>9</v>
      </c>
      <c r="K5" s="168" t="s">
        <v>48</v>
      </c>
      <c r="L5" s="168" t="s">
        <v>47</v>
      </c>
      <c r="M5" s="168" t="s">
        <v>10</v>
      </c>
      <c r="P5" s="167" t="s">
        <v>75</v>
      </c>
      <c r="Q5" s="172" t="s">
        <v>2</v>
      </c>
      <c r="R5" s="172"/>
      <c r="S5" s="172"/>
      <c r="T5" s="172"/>
      <c r="U5" s="172"/>
      <c r="V5" s="172"/>
      <c r="W5" s="106" t="s">
        <v>3</v>
      </c>
      <c r="X5" s="168" t="s">
        <v>4</v>
      </c>
      <c r="Y5" s="168" t="s">
        <v>15</v>
      </c>
      <c r="Z5" s="168" t="s">
        <v>51</v>
      </c>
      <c r="AA5" s="168" t="s">
        <v>10</v>
      </c>
    </row>
    <row r="6" spans="1:30" ht="45" customHeight="1" x14ac:dyDescent="0.25">
      <c r="A6" s="105"/>
      <c r="B6" s="161"/>
      <c r="C6" s="165" t="s">
        <v>0</v>
      </c>
      <c r="D6" s="165"/>
      <c r="E6" s="165"/>
      <c r="F6" s="165"/>
      <c r="G6" s="165"/>
      <c r="H6" s="165"/>
      <c r="I6" s="166" t="s">
        <v>1</v>
      </c>
      <c r="J6" s="170"/>
      <c r="K6" s="170"/>
      <c r="L6" s="170"/>
      <c r="M6" s="170"/>
      <c r="P6" s="167"/>
      <c r="Q6" s="171" t="s">
        <v>0</v>
      </c>
      <c r="R6" s="171"/>
      <c r="S6" s="171"/>
      <c r="T6" s="171"/>
      <c r="U6" s="171"/>
      <c r="V6" s="171"/>
      <c r="W6" s="166" t="s">
        <v>1</v>
      </c>
      <c r="X6" s="170"/>
      <c r="Y6" s="170"/>
      <c r="Z6" s="170"/>
      <c r="AA6" s="170"/>
      <c r="AD6" s="107"/>
    </row>
    <row r="7" spans="1:30" ht="78.75" x14ac:dyDescent="0.25">
      <c r="A7" s="105"/>
      <c r="B7" s="161"/>
      <c r="C7" s="108" t="s">
        <v>5</v>
      </c>
      <c r="D7" s="109" t="s">
        <v>71</v>
      </c>
      <c r="E7" s="108" t="s">
        <v>6</v>
      </c>
      <c r="F7" s="108" t="s">
        <v>70</v>
      </c>
      <c r="G7" s="108" t="s">
        <v>7</v>
      </c>
      <c r="H7" s="168" t="s">
        <v>8</v>
      </c>
      <c r="I7" s="166"/>
      <c r="J7" s="170"/>
      <c r="K7" s="170"/>
      <c r="L7" s="170"/>
      <c r="M7" s="170"/>
      <c r="P7" s="167"/>
      <c r="Q7" s="109" t="s">
        <v>5</v>
      </c>
      <c r="R7" s="109" t="s">
        <v>71</v>
      </c>
      <c r="S7" s="109" t="s">
        <v>6</v>
      </c>
      <c r="T7" s="109" t="s">
        <v>76</v>
      </c>
      <c r="U7" s="109" t="s">
        <v>7</v>
      </c>
      <c r="V7" s="109" t="s">
        <v>8</v>
      </c>
      <c r="W7" s="166"/>
      <c r="X7" s="170"/>
      <c r="Y7" s="170"/>
      <c r="Z7" s="170"/>
      <c r="AA7" s="170"/>
    </row>
    <row r="8" spans="1:30" ht="38.25" customHeight="1" x14ac:dyDescent="0.25">
      <c r="A8" s="105"/>
      <c r="B8" s="161"/>
      <c r="C8" s="110" t="s">
        <v>11</v>
      </c>
      <c r="D8" s="111" t="s">
        <v>49</v>
      </c>
      <c r="E8" s="110" t="s">
        <v>12</v>
      </c>
      <c r="F8" s="110" t="s">
        <v>13</v>
      </c>
      <c r="G8" s="110" t="s">
        <v>14</v>
      </c>
      <c r="H8" s="169"/>
      <c r="I8" s="166"/>
      <c r="J8" s="169"/>
      <c r="K8" s="169"/>
      <c r="L8" s="169"/>
      <c r="M8" s="169"/>
      <c r="P8" s="167"/>
      <c r="Q8" s="111" t="s">
        <v>11</v>
      </c>
      <c r="R8" s="111" t="s">
        <v>16</v>
      </c>
      <c r="S8" s="111" t="s">
        <v>12</v>
      </c>
      <c r="T8" s="111" t="s">
        <v>13</v>
      </c>
      <c r="U8" s="111" t="s">
        <v>14</v>
      </c>
      <c r="V8" s="112"/>
      <c r="W8" s="166"/>
      <c r="X8" s="169"/>
      <c r="Y8" s="169"/>
      <c r="Z8" s="169"/>
      <c r="AA8" s="169"/>
    </row>
    <row r="9" spans="1:30" ht="25.5" customHeight="1" x14ac:dyDescent="0.25">
      <c r="A9" s="113">
        <v>1</v>
      </c>
      <c r="B9" s="114" t="s">
        <v>17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O9" s="104">
        <v>1</v>
      </c>
      <c r="P9" s="114" t="s">
        <v>17</v>
      </c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30" x14ac:dyDescent="0.25">
      <c r="A10" s="113"/>
      <c r="B10" s="116" t="s">
        <v>18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5"/>
      <c r="M10" s="115"/>
      <c r="P10" s="116" t="s">
        <v>18</v>
      </c>
      <c r="Q10" s="115"/>
      <c r="R10" s="115"/>
      <c r="S10" s="115"/>
      <c r="T10" s="115"/>
      <c r="U10" s="115"/>
      <c r="V10" s="115"/>
      <c r="W10" s="117"/>
      <c r="X10" s="117"/>
      <c r="Y10" s="117"/>
      <c r="Z10" s="117"/>
      <c r="AA10" s="115"/>
    </row>
    <row r="11" spans="1:30" x14ac:dyDescent="0.25">
      <c r="A11" s="113"/>
      <c r="B11" s="118" t="s">
        <v>19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5">
        <v>1546.75</v>
      </c>
      <c r="M11" s="115">
        <f t="shared" ref="M11:M16" si="0">SUM(L11)</f>
        <v>1546.75</v>
      </c>
      <c r="P11" s="116" t="s">
        <v>19</v>
      </c>
      <c r="Q11" s="115"/>
      <c r="R11" s="119">
        <f>L11</f>
        <v>1546.75</v>
      </c>
      <c r="S11" s="115"/>
      <c r="T11" s="115"/>
      <c r="U11" s="115"/>
      <c r="V11" s="115"/>
      <c r="W11" s="117"/>
      <c r="X11" s="117"/>
      <c r="Y11" s="117"/>
      <c r="Z11" s="117"/>
      <c r="AA11" s="115">
        <f>SUM(Q11:V11)</f>
        <v>1546.75</v>
      </c>
    </row>
    <row r="12" spans="1:30" x14ac:dyDescent="0.25">
      <c r="A12" s="113"/>
      <c r="B12" s="118" t="s">
        <v>20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20">
        <v>1242.24</v>
      </c>
      <c r="M12" s="120">
        <f t="shared" si="0"/>
        <v>1242.24</v>
      </c>
      <c r="P12" s="116" t="s">
        <v>20</v>
      </c>
      <c r="Q12" s="120"/>
      <c r="R12" s="121">
        <f>L12</f>
        <v>1242.24</v>
      </c>
      <c r="S12" s="120"/>
      <c r="T12" s="120"/>
      <c r="U12" s="120"/>
      <c r="V12" s="115"/>
      <c r="W12" s="117"/>
      <c r="X12" s="117"/>
      <c r="Y12" s="117"/>
      <c r="Z12" s="117"/>
      <c r="AA12" s="115">
        <f t="shared" ref="AA12:AA16" si="1">SUM(Q12:V12)</f>
        <v>1242.24</v>
      </c>
    </row>
    <row r="13" spans="1:30" x14ac:dyDescent="0.25">
      <c r="A13" s="113"/>
      <c r="B13" s="118" t="s">
        <v>21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20">
        <v>9928.4866497255898</v>
      </c>
      <c r="M13" s="120">
        <f t="shared" si="0"/>
        <v>9928.4866497255898</v>
      </c>
      <c r="P13" s="118" t="s">
        <v>21</v>
      </c>
      <c r="Q13" s="120"/>
      <c r="R13" s="120">
        <f>L13</f>
        <v>9928.4866497255898</v>
      </c>
      <c r="S13" s="120"/>
      <c r="T13" s="120"/>
      <c r="U13" s="120"/>
      <c r="V13" s="115"/>
      <c r="W13" s="117"/>
      <c r="X13" s="117"/>
      <c r="Y13" s="117"/>
      <c r="Z13" s="117"/>
      <c r="AA13" s="115">
        <f t="shared" si="1"/>
        <v>9928.4866497255898</v>
      </c>
    </row>
    <row r="14" spans="1:30" x14ac:dyDescent="0.25">
      <c r="A14" s="113"/>
      <c r="B14" s="118" t="s">
        <v>22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20">
        <v>498.53659109532919</v>
      </c>
      <c r="M14" s="120">
        <f t="shared" si="0"/>
        <v>498.53659109532919</v>
      </c>
      <c r="P14" s="118" t="s">
        <v>22</v>
      </c>
      <c r="Q14" s="120"/>
      <c r="R14" s="122">
        <f>L14</f>
        <v>498.53659109532919</v>
      </c>
      <c r="S14" s="120"/>
      <c r="T14" s="120"/>
      <c r="U14" s="120"/>
      <c r="V14" s="115"/>
      <c r="W14" s="117"/>
      <c r="X14" s="117"/>
      <c r="Y14" s="117"/>
      <c r="Z14" s="117"/>
      <c r="AA14" s="115">
        <f t="shared" si="1"/>
        <v>498.53659109532919</v>
      </c>
    </row>
    <row r="15" spans="1:30" x14ac:dyDescent="0.25">
      <c r="A15" s="113"/>
      <c r="B15" s="116" t="s">
        <v>39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23">
        <v>816.21840341069242</v>
      </c>
      <c r="M15" s="120">
        <f t="shared" si="0"/>
        <v>816.21840341069242</v>
      </c>
      <c r="P15" s="116" t="s">
        <v>23</v>
      </c>
      <c r="Q15" s="120">
        <v>61.917357382650373</v>
      </c>
      <c r="R15" s="124"/>
      <c r="S15" s="120"/>
      <c r="T15" s="120">
        <f>M15-Q15</f>
        <v>754.30104602804204</v>
      </c>
      <c r="U15" s="120"/>
      <c r="V15" s="115"/>
      <c r="W15" s="117"/>
      <c r="X15" s="117"/>
      <c r="Y15" s="117"/>
      <c r="Z15" s="117"/>
      <c r="AA15" s="115">
        <f t="shared" si="1"/>
        <v>816.21840341069242</v>
      </c>
    </row>
    <row r="16" spans="1:30" x14ac:dyDescent="0.25">
      <c r="A16" s="113"/>
      <c r="B16" s="116" t="s">
        <v>73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25">
        <v>26.643716384105673</v>
      </c>
      <c r="M16" s="120">
        <f t="shared" si="0"/>
        <v>26.643716384105673</v>
      </c>
      <c r="P16" s="116" t="s">
        <v>74</v>
      </c>
      <c r="Q16" s="125">
        <f>L16</f>
        <v>26.643716384105673</v>
      </c>
      <c r="R16" s="125"/>
      <c r="S16" s="120"/>
      <c r="T16" s="120"/>
      <c r="U16" s="120"/>
      <c r="V16" s="115"/>
      <c r="W16" s="117"/>
      <c r="X16" s="117"/>
      <c r="Y16" s="117"/>
      <c r="Z16" s="117"/>
      <c r="AA16" s="115">
        <f t="shared" si="1"/>
        <v>26.643716384105673</v>
      </c>
    </row>
    <row r="17" spans="1:31" x14ac:dyDescent="0.25">
      <c r="A17" s="113"/>
      <c r="B17" s="126" t="s">
        <v>10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27">
        <f>SUM(L11:L16)</f>
        <v>14058.875360615717</v>
      </c>
      <c r="M17" s="128">
        <f>SUM(L17)</f>
        <v>14058.875360615717</v>
      </c>
      <c r="P17" s="126" t="s">
        <v>44</v>
      </c>
      <c r="Q17" s="127">
        <f t="shared" ref="Q17:V17" si="2">SUM(Q11:Q16)</f>
        <v>88.561073766756039</v>
      </c>
      <c r="R17" s="127">
        <f t="shared" si="2"/>
        <v>13216.013240820919</v>
      </c>
      <c r="S17" s="127">
        <f t="shared" si="2"/>
        <v>0</v>
      </c>
      <c r="T17" s="127">
        <f t="shared" si="2"/>
        <v>754.30104602804204</v>
      </c>
      <c r="U17" s="127">
        <f t="shared" si="2"/>
        <v>0</v>
      </c>
      <c r="V17" s="127">
        <f t="shared" si="2"/>
        <v>0</v>
      </c>
      <c r="W17" s="129"/>
      <c r="X17" s="129"/>
      <c r="Y17" s="129"/>
      <c r="Z17" s="129"/>
      <c r="AA17" s="128">
        <f>SUM(Q17:V17)</f>
        <v>14058.875360615717</v>
      </c>
    </row>
    <row r="18" spans="1:31" x14ac:dyDescent="0.25">
      <c r="A18" s="113">
        <v>2</v>
      </c>
      <c r="B18" s="114" t="s">
        <v>24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O18" s="104">
        <v>2</v>
      </c>
      <c r="P18" s="114" t="s">
        <v>24</v>
      </c>
      <c r="Q18" s="120"/>
      <c r="R18" s="120"/>
      <c r="S18" s="120"/>
      <c r="T18" s="120"/>
      <c r="U18" s="120"/>
      <c r="V18" s="115"/>
      <c r="W18" s="115"/>
      <c r="X18" s="115"/>
      <c r="Y18" s="115"/>
      <c r="Z18" s="115"/>
      <c r="AA18" s="115"/>
    </row>
    <row r="19" spans="1:31" x14ac:dyDescent="0.25">
      <c r="A19" s="113"/>
      <c r="B19" s="130" t="s">
        <v>25</v>
      </c>
      <c r="C19" s="115"/>
      <c r="D19" s="120"/>
      <c r="E19" s="120"/>
      <c r="F19" s="120"/>
      <c r="G19" s="120"/>
      <c r="H19" s="115"/>
      <c r="I19" s="117"/>
      <c r="J19" s="117"/>
      <c r="K19" s="120"/>
      <c r="L19" s="117"/>
      <c r="M19" s="115"/>
      <c r="O19" s="131"/>
      <c r="P19" s="132" t="s">
        <v>77</v>
      </c>
      <c r="Q19" s="120"/>
      <c r="R19" s="120"/>
      <c r="S19" s="120"/>
      <c r="T19" s="120"/>
      <c r="U19" s="120"/>
      <c r="V19" s="120"/>
      <c r="W19" s="117"/>
      <c r="X19" s="117"/>
      <c r="Y19" s="117"/>
      <c r="Z19" s="117"/>
      <c r="AA19" s="115"/>
    </row>
    <row r="20" spans="1:31" x14ac:dyDescent="0.25">
      <c r="A20" s="113"/>
      <c r="B20" s="118" t="s">
        <v>21</v>
      </c>
      <c r="C20" s="115"/>
      <c r="D20" s="120">
        <v>9671.6031037034973</v>
      </c>
      <c r="E20" s="120"/>
      <c r="F20" s="120"/>
      <c r="G20" s="120"/>
      <c r="H20" s="115"/>
      <c r="I20" s="117"/>
      <c r="J20" s="117"/>
      <c r="K20" s="120">
        <v>3085.7653448637025</v>
      </c>
      <c r="L20" s="117"/>
      <c r="M20" s="115">
        <f t="shared" ref="M20:M27" si="3">SUM(C20:L20)</f>
        <v>12757.3684485672</v>
      </c>
      <c r="N20" s="133"/>
      <c r="O20" s="131"/>
      <c r="P20" s="118" t="s">
        <v>21</v>
      </c>
      <c r="Q20" s="120"/>
      <c r="R20" s="120"/>
      <c r="S20" s="120"/>
      <c r="T20" s="120">
        <v>7833.903194475477</v>
      </c>
      <c r="U20" s="120"/>
      <c r="V20" s="120"/>
      <c r="W20" s="117"/>
      <c r="X20" s="117"/>
      <c r="Y20" s="117"/>
      <c r="Z20" s="117"/>
      <c r="AA20" s="115">
        <f>SUM(Q20:Z20)</f>
        <v>7833.903194475477</v>
      </c>
      <c r="AE20" s="133"/>
    </row>
    <row r="21" spans="1:31" x14ac:dyDescent="0.25">
      <c r="A21" s="113"/>
      <c r="B21" s="118" t="s">
        <v>26</v>
      </c>
      <c r="C21" s="115"/>
      <c r="D21" s="125">
        <f>L12</f>
        <v>1242.24</v>
      </c>
      <c r="E21" s="120"/>
      <c r="F21" s="120"/>
      <c r="G21" s="120"/>
      <c r="H21" s="115"/>
      <c r="I21" s="117"/>
      <c r="J21" s="117"/>
      <c r="K21" s="120">
        <v>823.94280000000015</v>
      </c>
      <c r="L21" s="117"/>
      <c r="M21" s="115">
        <f t="shared" si="3"/>
        <v>2066.1828</v>
      </c>
      <c r="N21" s="133"/>
      <c r="O21" s="131"/>
      <c r="P21" s="118" t="s">
        <v>26</v>
      </c>
      <c r="Q21" s="120"/>
      <c r="R21" s="121"/>
      <c r="S21" s="120"/>
      <c r="T21" s="115">
        <v>460.37423979602494</v>
      </c>
      <c r="U21" s="120"/>
      <c r="V21" s="120"/>
      <c r="W21" s="117"/>
      <c r="X21" s="117"/>
      <c r="Y21" s="117"/>
      <c r="Z21" s="117"/>
      <c r="AA21" s="115">
        <f>SUM(Q21:Z21)</f>
        <v>460.37423979602494</v>
      </c>
      <c r="AE21" s="133"/>
    </row>
    <row r="22" spans="1:31" x14ac:dyDescent="0.25">
      <c r="A22" s="113"/>
      <c r="B22" s="118" t="s">
        <v>27</v>
      </c>
      <c r="C22" s="115">
        <f>L16+Q15</f>
        <v>88.561073766756039</v>
      </c>
      <c r="D22" s="120"/>
      <c r="E22" s="120"/>
      <c r="F22" s="120"/>
      <c r="G22" s="120"/>
      <c r="H22" s="115"/>
      <c r="I22" s="117"/>
      <c r="J22" s="117"/>
      <c r="K22" s="120"/>
      <c r="L22" s="117"/>
      <c r="M22" s="115">
        <f t="shared" si="3"/>
        <v>88.561073766756039</v>
      </c>
      <c r="N22" s="133"/>
      <c r="O22" s="131"/>
      <c r="P22" s="118" t="s">
        <v>27</v>
      </c>
      <c r="Q22" s="120"/>
      <c r="R22" s="120"/>
      <c r="S22" s="120"/>
      <c r="T22" s="120">
        <f>Q15</f>
        <v>61.917357382650373</v>
      </c>
      <c r="U22" s="120"/>
      <c r="V22" s="120"/>
      <c r="W22" s="117"/>
      <c r="X22" s="117"/>
      <c r="Y22" s="117"/>
      <c r="Z22" s="117"/>
      <c r="AA22" s="115">
        <f t="shared" ref="AA22:AA27" si="4">SUM(Q22:Z22)</f>
        <v>61.917357382650373</v>
      </c>
    </row>
    <row r="23" spans="1:31" x14ac:dyDescent="0.25">
      <c r="A23" s="113"/>
      <c r="B23" s="118" t="s">
        <v>28</v>
      </c>
      <c r="C23" s="120"/>
      <c r="D23" s="120"/>
      <c r="E23" s="120"/>
      <c r="F23" s="120">
        <f>4809.427478507</f>
        <v>4809.4274785070002</v>
      </c>
      <c r="G23" s="120"/>
      <c r="H23" s="115"/>
      <c r="I23" s="117"/>
      <c r="J23" s="117"/>
      <c r="K23" s="123">
        <v>18.879100566980643</v>
      </c>
      <c r="L23" s="117"/>
      <c r="M23" s="115">
        <f t="shared" si="3"/>
        <v>4828.3065790739811</v>
      </c>
      <c r="N23" s="133"/>
      <c r="O23" s="131"/>
      <c r="P23" s="118" t="s">
        <v>28</v>
      </c>
      <c r="Q23" s="120"/>
      <c r="R23" s="120"/>
      <c r="S23" s="120"/>
      <c r="T23" s="120"/>
      <c r="U23" s="120"/>
      <c r="V23" s="120"/>
      <c r="W23" s="117"/>
      <c r="X23" s="117"/>
      <c r="Y23" s="117"/>
      <c r="Z23" s="117"/>
      <c r="AA23" s="115">
        <f t="shared" si="4"/>
        <v>0</v>
      </c>
    </row>
    <row r="24" spans="1:31" ht="19.5" customHeight="1" x14ac:dyDescent="0.25">
      <c r="A24" s="113"/>
      <c r="B24" s="118" t="s">
        <v>29</v>
      </c>
      <c r="C24" s="115"/>
      <c r="D24" s="120"/>
      <c r="E24" s="120"/>
      <c r="F24" s="120">
        <f>L15</f>
        <v>816.21840341069242</v>
      </c>
      <c r="G24" s="120"/>
      <c r="H24" s="115"/>
      <c r="I24" s="117"/>
      <c r="J24" s="117"/>
      <c r="K24" s="115"/>
      <c r="L24" s="117"/>
      <c r="M24" s="115">
        <f t="shared" si="3"/>
        <v>816.21840341069242</v>
      </c>
      <c r="N24" s="133"/>
      <c r="O24" s="131"/>
      <c r="P24" s="118" t="s">
        <v>29</v>
      </c>
      <c r="Q24" s="120"/>
      <c r="R24" s="120"/>
      <c r="S24" s="120"/>
      <c r="T24" s="120">
        <f>M15</f>
        <v>816.21840341069242</v>
      </c>
      <c r="U24" s="120"/>
      <c r="V24" s="120"/>
      <c r="W24" s="117"/>
      <c r="X24" s="117"/>
      <c r="Y24" s="117"/>
      <c r="Z24" s="117"/>
      <c r="AA24" s="115">
        <f t="shared" si="4"/>
        <v>816.21840341069242</v>
      </c>
    </row>
    <row r="25" spans="1:31" ht="27" customHeight="1" x14ac:dyDescent="0.25">
      <c r="A25" s="113"/>
      <c r="B25" s="118" t="s">
        <v>22</v>
      </c>
      <c r="C25" s="115"/>
      <c r="D25" s="120">
        <f>L14</f>
        <v>498.53659109532919</v>
      </c>
      <c r="E25" s="120"/>
      <c r="F25" s="120"/>
      <c r="G25" s="120"/>
      <c r="H25" s="115"/>
      <c r="I25" s="117"/>
      <c r="J25" s="117"/>
      <c r="K25" s="120">
        <v>1.1939770554493308E-2</v>
      </c>
      <c r="L25" s="117"/>
      <c r="M25" s="115">
        <f t="shared" si="3"/>
        <v>498.54853086588366</v>
      </c>
      <c r="N25" s="133"/>
      <c r="O25" s="131"/>
      <c r="P25" s="118" t="s">
        <v>22</v>
      </c>
      <c r="Q25" s="120"/>
      <c r="R25" s="120"/>
      <c r="S25" s="120"/>
      <c r="T25" s="120">
        <v>427.10264954930352</v>
      </c>
      <c r="U25" s="120"/>
      <c r="V25" s="120"/>
      <c r="W25" s="117"/>
      <c r="X25" s="117"/>
      <c r="Y25" s="117"/>
      <c r="Z25" s="117"/>
      <c r="AA25" s="115">
        <f t="shared" si="4"/>
        <v>427.10264954930352</v>
      </c>
    </row>
    <row r="26" spans="1:31" ht="30.75" customHeight="1" x14ac:dyDescent="0.25">
      <c r="A26" s="113"/>
      <c r="B26" s="118" t="s">
        <v>19</v>
      </c>
      <c r="C26" s="115"/>
      <c r="D26" s="120">
        <v>1546.96158941571</v>
      </c>
      <c r="E26" s="120"/>
      <c r="F26" s="120"/>
      <c r="G26" s="120"/>
      <c r="H26" s="115"/>
      <c r="I26" s="117"/>
      <c r="J26" s="117"/>
      <c r="K26" s="120">
        <v>8494.4851262709089</v>
      </c>
      <c r="L26" s="117"/>
      <c r="M26" s="115">
        <f t="shared" si="3"/>
        <v>10041.446715686619</v>
      </c>
      <c r="N26" s="133"/>
      <c r="O26" s="131"/>
      <c r="P26" s="118" t="s">
        <v>19</v>
      </c>
      <c r="Q26" s="120"/>
      <c r="R26" s="121"/>
      <c r="S26" s="120">
        <v>9752.8498196129876</v>
      </c>
      <c r="T26" s="120"/>
      <c r="U26" s="120"/>
      <c r="V26" s="120"/>
      <c r="W26" s="117"/>
      <c r="X26" s="117"/>
      <c r="Y26" s="117"/>
      <c r="Z26" s="117"/>
      <c r="AA26" s="115">
        <f t="shared" si="4"/>
        <v>9752.8498196129876</v>
      </c>
    </row>
    <row r="27" spans="1:31" x14ac:dyDescent="0.25">
      <c r="A27" s="113"/>
      <c r="B27" s="118" t="s">
        <v>30</v>
      </c>
      <c r="C27" s="115"/>
      <c r="D27" s="120"/>
      <c r="E27" s="120">
        <v>9711.81</v>
      </c>
      <c r="F27" s="120"/>
      <c r="G27" s="120"/>
      <c r="H27" s="115"/>
      <c r="I27" s="117"/>
      <c r="J27" s="117"/>
      <c r="K27" s="120">
        <v>1233.480236144261</v>
      </c>
      <c r="L27" s="117"/>
      <c r="M27" s="115">
        <f t="shared" si="3"/>
        <v>10945.290236144261</v>
      </c>
      <c r="N27" s="133"/>
      <c r="O27" s="131"/>
      <c r="P27" s="118" t="s">
        <v>30</v>
      </c>
      <c r="Q27" s="120"/>
      <c r="R27" s="120"/>
      <c r="S27" s="120"/>
      <c r="T27" s="120">
        <v>32.2667052581509</v>
      </c>
      <c r="U27" s="120"/>
      <c r="V27" s="120"/>
      <c r="W27" s="117"/>
      <c r="X27" s="117"/>
      <c r="Y27" s="117"/>
      <c r="Z27" s="117"/>
      <c r="AA27" s="115">
        <f t="shared" si="4"/>
        <v>32.2667052581509</v>
      </c>
    </row>
    <row r="28" spans="1:31" x14ac:dyDescent="0.25">
      <c r="A28" s="113"/>
      <c r="B28" s="134" t="s">
        <v>44</v>
      </c>
      <c r="C28" s="128">
        <f t="shared" ref="C28:M28" si="5">SUM(C19:C27)</f>
        <v>88.561073766756039</v>
      </c>
      <c r="D28" s="123">
        <f t="shared" si="5"/>
        <v>12959.341284214537</v>
      </c>
      <c r="E28" s="123">
        <f t="shared" si="5"/>
        <v>9711.81</v>
      </c>
      <c r="F28" s="123">
        <f t="shared" si="5"/>
        <v>5625.6458819176923</v>
      </c>
      <c r="G28" s="123">
        <f t="shared" si="5"/>
        <v>0</v>
      </c>
      <c r="H28" s="128">
        <f t="shared" si="5"/>
        <v>0</v>
      </c>
      <c r="I28" s="128">
        <f t="shared" si="5"/>
        <v>0</v>
      </c>
      <c r="J28" s="128">
        <f t="shared" si="5"/>
        <v>0</v>
      </c>
      <c r="K28" s="128">
        <f t="shared" si="5"/>
        <v>13656.564547616408</v>
      </c>
      <c r="L28" s="128">
        <f t="shared" si="5"/>
        <v>0</v>
      </c>
      <c r="M28" s="128">
        <f t="shared" si="5"/>
        <v>42041.922787515396</v>
      </c>
      <c r="N28" s="133"/>
      <c r="P28" s="135" t="s">
        <v>52</v>
      </c>
      <c r="Q28" s="136">
        <f t="shared" ref="Q28:V28" si="6">SUM(Q20:Q27)</f>
        <v>0</v>
      </c>
      <c r="R28" s="136">
        <f t="shared" si="6"/>
        <v>0</v>
      </c>
      <c r="S28" s="136">
        <f t="shared" si="6"/>
        <v>9752.8498196129876</v>
      </c>
      <c r="T28" s="136">
        <f t="shared" si="6"/>
        <v>9631.7825498722996</v>
      </c>
      <c r="U28" s="136">
        <f t="shared" si="6"/>
        <v>0</v>
      </c>
      <c r="V28" s="136">
        <f t="shared" si="6"/>
        <v>0</v>
      </c>
      <c r="W28" s="137"/>
      <c r="X28" s="137"/>
      <c r="Y28" s="137"/>
      <c r="Z28" s="137"/>
      <c r="AA28" s="128">
        <f>SUM(Q28:Z28)</f>
        <v>19384.632369485287</v>
      </c>
    </row>
    <row r="29" spans="1:31" x14ac:dyDescent="0.25">
      <c r="A29" s="113">
        <v>3</v>
      </c>
      <c r="B29" s="114" t="s">
        <v>31</v>
      </c>
      <c r="C29" s="115"/>
      <c r="D29" s="120"/>
      <c r="E29" s="120"/>
      <c r="F29" s="120"/>
      <c r="G29" s="120"/>
      <c r="H29" s="115"/>
      <c r="I29" s="115"/>
      <c r="J29" s="115"/>
      <c r="K29" s="115"/>
      <c r="L29" s="115"/>
      <c r="M29" s="115"/>
      <c r="P29" s="138" t="s">
        <v>32</v>
      </c>
      <c r="Q29" s="139"/>
      <c r="R29" s="140"/>
      <c r="S29" s="140"/>
      <c r="T29" s="140"/>
      <c r="U29" s="140"/>
      <c r="V29" s="140"/>
      <c r="W29" s="141"/>
      <c r="X29" s="141"/>
      <c r="Y29" s="140"/>
      <c r="Z29" s="142"/>
      <c r="AA29" s="142"/>
    </row>
    <row r="30" spans="1:31" x14ac:dyDescent="0.25">
      <c r="A30" s="113"/>
      <c r="B30" s="143" t="s">
        <v>40</v>
      </c>
      <c r="C30" s="115"/>
      <c r="D30" s="120">
        <v>0</v>
      </c>
      <c r="E30" s="120"/>
      <c r="F30" s="120">
        <v>867.10785398853704</v>
      </c>
      <c r="G30" s="120"/>
      <c r="H30" s="120"/>
      <c r="I30" s="115"/>
      <c r="J30" s="115"/>
      <c r="K30" s="115"/>
      <c r="L30" s="115"/>
      <c r="M30" s="115">
        <f>SUM(C30:I30)</f>
        <v>867.10785398853704</v>
      </c>
      <c r="P30" s="118" t="s">
        <v>21</v>
      </c>
      <c r="Q30" s="144"/>
      <c r="R30" s="144"/>
      <c r="S30" s="144">
        <v>1180.2977928443747</v>
      </c>
      <c r="T30" s="144"/>
      <c r="U30" s="144"/>
      <c r="V30" s="144">
        <v>3645.5935544911181</v>
      </c>
      <c r="W30" s="144"/>
      <c r="X30" s="145">
        <f>90.3568570550777+(-17)</f>
        <v>73.356857055077697</v>
      </c>
      <c r="Y30" s="144">
        <v>23.9</v>
      </c>
      <c r="Z30" s="146"/>
      <c r="AA30" s="115">
        <f>SUM(Q30:Z30)</f>
        <v>4923.1482043905708</v>
      </c>
    </row>
    <row r="31" spans="1:31" x14ac:dyDescent="0.25">
      <c r="A31" s="113"/>
      <c r="B31" s="143" t="s">
        <v>41</v>
      </c>
      <c r="C31" s="115"/>
      <c r="D31" s="120">
        <v>43.527600000000007</v>
      </c>
      <c r="E31" s="120"/>
      <c r="F31" s="120">
        <v>86.380957402735518</v>
      </c>
      <c r="G31" s="120"/>
      <c r="H31" s="120"/>
      <c r="I31" s="115"/>
      <c r="J31" s="117"/>
      <c r="K31" s="117"/>
      <c r="L31" s="117"/>
      <c r="M31" s="115">
        <f>SUM(C31:I31)</f>
        <v>129.90855740273554</v>
      </c>
      <c r="P31" s="118" t="s">
        <v>26</v>
      </c>
      <c r="Q31" s="120">
        <v>7.906142239127254</v>
      </c>
      <c r="R31" s="120">
        <v>246.52788982005896</v>
      </c>
      <c r="S31" s="120">
        <v>886.03755564379605</v>
      </c>
      <c r="T31" s="120">
        <v>17.334322556375266</v>
      </c>
      <c r="U31" s="120">
        <v>207.91040147129513</v>
      </c>
      <c r="V31" s="120">
        <v>173.80829275428954</v>
      </c>
      <c r="W31" s="120">
        <v>23.101155719032789</v>
      </c>
      <c r="X31" s="147">
        <v>43</v>
      </c>
      <c r="Y31" s="120"/>
      <c r="Z31" s="148"/>
      <c r="AA31" s="115">
        <f t="shared" ref="AA31:AA37" si="7">SUM(Q31:Z31)</f>
        <v>1605.625760203975</v>
      </c>
    </row>
    <row r="32" spans="1:31" x14ac:dyDescent="0.25">
      <c r="A32" s="113"/>
      <c r="B32" s="143" t="s">
        <v>43</v>
      </c>
      <c r="C32" s="115"/>
      <c r="D32" s="120">
        <v>256.8835460220925</v>
      </c>
      <c r="E32" s="120"/>
      <c r="F32" s="120"/>
      <c r="G32" s="120"/>
      <c r="H32" s="120"/>
      <c r="I32" s="115"/>
      <c r="J32" s="117"/>
      <c r="K32" s="117"/>
      <c r="L32" s="117"/>
      <c r="M32" s="115">
        <f>SUM(C32:I32)</f>
        <v>256.8835460220925</v>
      </c>
      <c r="P32" s="118" t="s">
        <v>27</v>
      </c>
      <c r="Q32" s="120"/>
      <c r="R32" s="120"/>
      <c r="S32" s="120"/>
      <c r="T32" s="120"/>
      <c r="U32" s="120"/>
      <c r="V32" s="120"/>
      <c r="W32" s="120">
        <f>L16</f>
        <v>26.643716384105673</v>
      </c>
      <c r="X32" s="115"/>
      <c r="Y32" s="120"/>
      <c r="Z32" s="148"/>
      <c r="AA32" s="115">
        <f t="shared" si="7"/>
        <v>26.643716384105673</v>
      </c>
    </row>
    <row r="33" spans="1:27" x14ac:dyDescent="0.25">
      <c r="A33" s="113"/>
      <c r="B33" s="143" t="s">
        <v>46</v>
      </c>
      <c r="C33" s="115">
        <f t="shared" ref="C33:I33" si="8">Q38</f>
        <v>677.01316884852736</v>
      </c>
      <c r="D33" s="115">
        <f t="shared" si="8"/>
        <v>327.89695472653665</v>
      </c>
      <c r="E33" s="115">
        <f t="shared" si="8"/>
        <v>4991.7930341720275</v>
      </c>
      <c r="F33" s="115">
        <f t="shared" si="8"/>
        <v>596.98472180243937</v>
      </c>
      <c r="G33" s="115">
        <f t="shared" si="8"/>
        <v>682.76877075964308</v>
      </c>
      <c r="H33" s="115">
        <f t="shared" si="8"/>
        <v>8603.1137734040676</v>
      </c>
      <c r="I33" s="115">
        <f t="shared" si="8"/>
        <v>3160.7494609411419</v>
      </c>
      <c r="J33" s="117"/>
      <c r="K33" s="117"/>
      <c r="L33" s="117"/>
      <c r="M33" s="115">
        <f>SUM(C33:I33)</f>
        <v>19040.319884654382</v>
      </c>
      <c r="P33" s="118" t="s">
        <v>28</v>
      </c>
      <c r="Q33" s="123">
        <v>623.46416937776007</v>
      </c>
      <c r="R33" s="120">
        <v>0</v>
      </c>
      <c r="S33" s="120">
        <v>1834.4106137837075</v>
      </c>
      <c r="T33" s="120">
        <v>519.75646285001278</v>
      </c>
      <c r="U33" s="120">
        <v>59.738224595978579</v>
      </c>
      <c r="V33" s="120">
        <v>226.7129343230292</v>
      </c>
      <c r="W33" s="123">
        <f>859.951075002349+686</f>
        <v>1545.9510750023489</v>
      </c>
      <c r="X33" s="115"/>
      <c r="Y33" s="123">
        <v>18.54102572271966</v>
      </c>
      <c r="Z33" s="148"/>
      <c r="AA33" s="115">
        <f t="shared" si="7"/>
        <v>4828.5745056555561</v>
      </c>
    </row>
    <row r="34" spans="1:27" x14ac:dyDescent="0.25">
      <c r="A34" s="113"/>
      <c r="B34" s="149" t="s">
        <v>42</v>
      </c>
      <c r="C34" s="128">
        <f>C30+C31+C32+C33</f>
        <v>677.01316884852736</v>
      </c>
      <c r="D34" s="128">
        <f t="shared" ref="D34:I34" si="9">D30+D31+D32+D33</f>
        <v>628.30810074862916</v>
      </c>
      <c r="E34" s="128">
        <f t="shared" si="9"/>
        <v>4991.7930341720275</v>
      </c>
      <c r="F34" s="128">
        <f>F30+F31+F32+F33</f>
        <v>1550.4735331937118</v>
      </c>
      <c r="G34" s="128">
        <f t="shared" si="9"/>
        <v>682.76877075964308</v>
      </c>
      <c r="H34" s="128">
        <f t="shared" si="9"/>
        <v>8603.1137734040676</v>
      </c>
      <c r="I34" s="128">
        <f t="shared" si="9"/>
        <v>3160.7494609411419</v>
      </c>
      <c r="J34" s="129"/>
      <c r="K34" s="129"/>
      <c r="L34" s="129"/>
      <c r="M34" s="128">
        <f>SUM(C34:I34)</f>
        <v>20294.219842067749</v>
      </c>
      <c r="P34" s="118" t="s">
        <v>29</v>
      </c>
      <c r="Q34" s="120"/>
      <c r="R34" s="120"/>
      <c r="S34" s="120"/>
      <c r="T34" s="120"/>
      <c r="U34" s="120"/>
      <c r="V34" s="120"/>
      <c r="W34" s="120"/>
      <c r="X34" s="115"/>
      <c r="Y34" s="120"/>
      <c r="Z34" s="148"/>
      <c r="AA34" s="115">
        <f t="shared" si="7"/>
        <v>0</v>
      </c>
    </row>
    <row r="35" spans="1:27" x14ac:dyDescent="0.25">
      <c r="A35" s="113">
        <v>4</v>
      </c>
      <c r="B35" s="114" t="s">
        <v>33</v>
      </c>
      <c r="C35" s="115"/>
      <c r="D35" s="115"/>
      <c r="E35" s="115"/>
      <c r="F35" s="115"/>
      <c r="G35" s="115"/>
      <c r="H35" s="120"/>
      <c r="I35" s="115"/>
      <c r="J35" s="115"/>
      <c r="K35" s="115"/>
      <c r="L35" s="115"/>
      <c r="M35" s="115"/>
      <c r="O35" s="113"/>
      <c r="P35" s="118" t="s">
        <v>22</v>
      </c>
      <c r="Q35" s="120"/>
      <c r="R35" s="120"/>
      <c r="S35" s="120">
        <v>27.17</v>
      </c>
      <c r="T35" s="121"/>
      <c r="U35" s="120"/>
      <c r="V35" s="120">
        <v>25.698934717290356</v>
      </c>
      <c r="W35" s="120"/>
      <c r="X35" s="115">
        <v>18.569186014750102</v>
      </c>
      <c r="Y35" s="115">
        <v>5.7993171264681788E-3</v>
      </c>
      <c r="Z35" s="148"/>
      <c r="AA35" s="115">
        <f t="shared" si="7"/>
        <v>71.443920049166934</v>
      </c>
    </row>
    <row r="36" spans="1:27" x14ac:dyDescent="0.25">
      <c r="A36" s="113"/>
      <c r="B36" s="116" t="s">
        <v>34</v>
      </c>
      <c r="C36" s="115"/>
      <c r="D36" s="115"/>
      <c r="E36" s="115"/>
      <c r="F36" s="115"/>
      <c r="G36" s="115"/>
      <c r="H36" s="115"/>
      <c r="I36" s="115"/>
      <c r="J36" s="117"/>
      <c r="K36" s="117"/>
      <c r="L36" s="117"/>
      <c r="M36" s="115">
        <f>SUM(C36:I36)</f>
        <v>0</v>
      </c>
      <c r="N36" s="105"/>
      <c r="O36" s="113"/>
      <c r="P36" s="118" t="s">
        <v>19</v>
      </c>
      <c r="Q36" s="120"/>
      <c r="R36" s="120"/>
      <c r="S36" s="119">
        <f>289*10%</f>
        <v>28.900000000000002</v>
      </c>
      <c r="T36" s="120"/>
      <c r="U36" s="120"/>
      <c r="V36" s="120"/>
      <c r="W36" s="120"/>
      <c r="X36" s="119">
        <f>289*90%</f>
        <v>260.10000000000002</v>
      </c>
      <c r="Y36" s="120"/>
      <c r="Z36" s="148"/>
      <c r="AA36" s="115">
        <f t="shared" si="7"/>
        <v>289</v>
      </c>
    </row>
    <row r="37" spans="1:27" x14ac:dyDescent="0.25">
      <c r="A37" s="113"/>
      <c r="B37" s="116" t="s">
        <v>35</v>
      </c>
      <c r="C37" s="117"/>
      <c r="D37" s="117"/>
      <c r="E37" s="117"/>
      <c r="F37" s="117"/>
      <c r="G37" s="117"/>
      <c r="H37" s="117"/>
      <c r="I37" s="117"/>
      <c r="J37" s="115"/>
      <c r="K37" s="117"/>
      <c r="L37" s="117"/>
      <c r="M37" s="115">
        <f>J37</f>
        <v>0</v>
      </c>
      <c r="N37" s="105"/>
      <c r="P37" s="118" t="s">
        <v>30</v>
      </c>
      <c r="Q37" s="120">
        <v>45.642857231640036</v>
      </c>
      <c r="R37" s="120">
        <v>81.369064906477703</v>
      </c>
      <c r="S37" s="120">
        <v>1034.977071900149</v>
      </c>
      <c r="T37" s="120">
        <v>59.893936396051387</v>
      </c>
      <c r="U37" s="120">
        <v>415.12014469236931</v>
      </c>
      <c r="V37" s="120">
        <v>4531.3000571183411</v>
      </c>
      <c r="W37" s="120">
        <v>1565.0535138356545</v>
      </c>
      <c r="X37" s="115">
        <v>645</v>
      </c>
      <c r="Y37" s="120">
        <v>2535.1546933420791</v>
      </c>
      <c r="Z37" s="148"/>
      <c r="AA37" s="115">
        <f t="shared" si="7"/>
        <v>10913.511339422763</v>
      </c>
    </row>
    <row r="38" spans="1:27" x14ac:dyDescent="0.25">
      <c r="A38" s="113">
        <v>5</v>
      </c>
      <c r="B38" s="114" t="s">
        <v>36</v>
      </c>
      <c r="C38" s="128">
        <f t="shared" ref="C38:M38" si="10">C37+C36+C34+C28+C17</f>
        <v>765.57424261528342</v>
      </c>
      <c r="D38" s="128">
        <f t="shared" si="10"/>
        <v>13587.649384963166</v>
      </c>
      <c r="E38" s="128">
        <f t="shared" si="10"/>
        <v>14703.603034172027</v>
      </c>
      <c r="F38" s="128">
        <f t="shared" si="10"/>
        <v>7176.1194151114041</v>
      </c>
      <c r="G38" s="128">
        <f t="shared" si="10"/>
        <v>682.76877075964308</v>
      </c>
      <c r="H38" s="128">
        <f t="shared" si="10"/>
        <v>8603.1137734040676</v>
      </c>
      <c r="I38" s="128">
        <f t="shared" si="10"/>
        <v>3160.7494609411419</v>
      </c>
      <c r="J38" s="128">
        <f t="shared" si="10"/>
        <v>0</v>
      </c>
      <c r="K38" s="128">
        <f t="shared" si="10"/>
        <v>13656.564547616408</v>
      </c>
      <c r="L38" s="128">
        <f t="shared" si="10"/>
        <v>14058.875360615717</v>
      </c>
      <c r="M38" s="128">
        <f t="shared" si="10"/>
        <v>76395.017990198859</v>
      </c>
      <c r="P38" s="114" t="s">
        <v>45</v>
      </c>
      <c r="Q38" s="123">
        <f t="shared" ref="Q38:Z38" si="11">SUM(Q30:Q37)</f>
        <v>677.01316884852736</v>
      </c>
      <c r="R38" s="123">
        <f t="shared" si="11"/>
        <v>327.89695472653665</v>
      </c>
      <c r="S38" s="123">
        <f t="shared" si="11"/>
        <v>4991.7930341720275</v>
      </c>
      <c r="T38" s="123">
        <f t="shared" si="11"/>
        <v>596.98472180243937</v>
      </c>
      <c r="U38" s="123">
        <f t="shared" si="11"/>
        <v>682.76877075964308</v>
      </c>
      <c r="V38" s="123">
        <f t="shared" si="11"/>
        <v>8603.1137734040676</v>
      </c>
      <c r="W38" s="123">
        <f t="shared" si="11"/>
        <v>3160.7494609411419</v>
      </c>
      <c r="X38" s="128">
        <f t="shared" si="11"/>
        <v>1040.0260430698279</v>
      </c>
      <c r="Y38" s="128">
        <f t="shared" si="11"/>
        <v>2577.6015183819254</v>
      </c>
      <c r="Z38" s="128">
        <f t="shared" si="11"/>
        <v>0</v>
      </c>
      <c r="AA38" s="128">
        <f>SUM(Q38:Z38)</f>
        <v>22657.947446106136</v>
      </c>
    </row>
    <row r="39" spans="1:27" x14ac:dyDescent="0.25">
      <c r="B39" s="102" t="s">
        <v>69</v>
      </c>
      <c r="P39" s="132" t="s">
        <v>37</v>
      </c>
      <c r="Q39" s="115"/>
      <c r="R39" s="115"/>
      <c r="S39" s="115"/>
      <c r="T39" s="115"/>
      <c r="U39" s="115"/>
      <c r="V39" s="115"/>
      <c r="W39" s="120"/>
      <c r="X39" s="115"/>
      <c r="Y39" s="120"/>
      <c r="Z39" s="115"/>
      <c r="AA39" s="115">
        <f>SUM(Q39:Z39)</f>
        <v>0</v>
      </c>
    </row>
    <row r="40" spans="1:27" x14ac:dyDescent="0.25">
      <c r="B40" s="60" t="s">
        <v>112</v>
      </c>
      <c r="O40" s="104">
        <v>3</v>
      </c>
      <c r="P40" s="114" t="s">
        <v>31</v>
      </c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</row>
    <row r="41" spans="1:27" x14ac:dyDescent="0.25">
      <c r="P41" s="150" t="s">
        <v>40</v>
      </c>
      <c r="Q41" s="117"/>
      <c r="R41" s="117"/>
      <c r="S41" s="117"/>
      <c r="T41" s="117"/>
      <c r="U41" s="117"/>
      <c r="V41" s="117"/>
      <c r="W41" s="117"/>
      <c r="X41" s="117"/>
      <c r="Y41" s="117"/>
      <c r="Z41" s="115">
        <f>M30</f>
        <v>867.10785398853704</v>
      </c>
      <c r="AA41" s="115">
        <f t="shared" ref="AA41:AA48" si="12">SUM(Q41:Z41)</f>
        <v>867.10785398853704</v>
      </c>
    </row>
    <row r="42" spans="1:27" x14ac:dyDescent="0.25">
      <c r="P42" s="151" t="s">
        <v>41</v>
      </c>
      <c r="Q42" s="117"/>
      <c r="R42" s="117"/>
      <c r="S42" s="117"/>
      <c r="T42" s="117"/>
      <c r="U42" s="117"/>
      <c r="V42" s="117"/>
      <c r="W42" s="117"/>
      <c r="X42" s="117"/>
      <c r="Y42" s="117"/>
      <c r="Z42" s="115">
        <f>M31</f>
        <v>129.90855740273554</v>
      </c>
      <c r="AA42" s="115">
        <f t="shared" si="12"/>
        <v>129.90855740273554</v>
      </c>
    </row>
    <row r="43" spans="1:27" x14ac:dyDescent="0.25">
      <c r="P43" s="151" t="s">
        <v>43</v>
      </c>
      <c r="Q43" s="117"/>
      <c r="R43" s="117"/>
      <c r="S43" s="117"/>
      <c r="T43" s="117"/>
      <c r="U43" s="117"/>
      <c r="V43" s="117"/>
      <c r="W43" s="117"/>
      <c r="X43" s="117"/>
      <c r="Y43" s="117"/>
      <c r="Z43" s="115">
        <f>M32</f>
        <v>256.8835460220925</v>
      </c>
      <c r="AA43" s="115">
        <f>SUM(Q43:Z43)</f>
        <v>256.8835460220925</v>
      </c>
    </row>
    <row r="44" spans="1:27" x14ac:dyDescent="0.25">
      <c r="P44" s="151" t="s">
        <v>46</v>
      </c>
      <c r="Q44" s="152"/>
      <c r="R44" s="152"/>
      <c r="S44" s="152"/>
      <c r="T44" s="152"/>
      <c r="U44" s="152"/>
      <c r="V44" s="152"/>
      <c r="W44" s="152"/>
      <c r="X44" s="152"/>
      <c r="Y44" s="152"/>
      <c r="Z44" s="153">
        <f>M33</f>
        <v>19040.319884654382</v>
      </c>
      <c r="AA44" s="115">
        <f>SUM(Q44:Z44)</f>
        <v>19040.319884654382</v>
      </c>
    </row>
    <row r="45" spans="1:27" x14ac:dyDescent="0.25">
      <c r="P45" s="154" t="s">
        <v>42</v>
      </c>
      <c r="Q45" s="152"/>
      <c r="R45" s="152"/>
      <c r="S45" s="152"/>
      <c r="T45" s="152"/>
      <c r="U45" s="152"/>
      <c r="V45" s="152"/>
      <c r="W45" s="152"/>
      <c r="X45" s="152"/>
      <c r="Y45" s="152"/>
      <c r="Z45" s="155">
        <f>M34</f>
        <v>20294.219842067749</v>
      </c>
      <c r="AA45" s="128">
        <f>SUM(Q45:Z45)</f>
        <v>20294.219842067749</v>
      </c>
    </row>
    <row r="46" spans="1:27" x14ac:dyDescent="0.25">
      <c r="O46" s="104">
        <v>4</v>
      </c>
      <c r="P46" s="156" t="s">
        <v>33</v>
      </c>
      <c r="Q46" s="157"/>
      <c r="R46" s="141"/>
      <c r="S46" s="141"/>
      <c r="T46" s="141"/>
      <c r="U46" s="141"/>
      <c r="V46" s="141"/>
      <c r="W46" s="141"/>
      <c r="X46" s="141"/>
      <c r="Y46" s="141"/>
      <c r="Z46" s="142"/>
      <c r="AA46" s="145"/>
    </row>
    <row r="47" spans="1:27" x14ac:dyDescent="0.25">
      <c r="P47" s="116" t="s">
        <v>34</v>
      </c>
      <c r="Q47" s="158"/>
      <c r="R47" s="158"/>
      <c r="S47" s="158"/>
      <c r="T47" s="158"/>
      <c r="U47" s="158"/>
      <c r="V47" s="158"/>
      <c r="W47" s="158"/>
      <c r="X47" s="145">
        <f>M36</f>
        <v>0</v>
      </c>
      <c r="Y47" s="158"/>
      <c r="Z47" s="158"/>
      <c r="AA47" s="145">
        <f t="shared" si="12"/>
        <v>0</v>
      </c>
    </row>
    <row r="48" spans="1:27" x14ac:dyDescent="0.25">
      <c r="P48" s="116" t="s">
        <v>35</v>
      </c>
      <c r="Q48" s="115"/>
      <c r="R48" s="115"/>
      <c r="S48" s="115"/>
      <c r="T48" s="115"/>
      <c r="U48" s="115"/>
      <c r="V48" s="115"/>
      <c r="W48" s="117"/>
      <c r="X48" s="117"/>
      <c r="Y48" s="117"/>
      <c r="Z48" s="117"/>
      <c r="AA48" s="145">
        <f t="shared" si="12"/>
        <v>0</v>
      </c>
    </row>
    <row r="49" spans="14:28" x14ac:dyDescent="0.25">
      <c r="O49" s="104">
        <v>5</v>
      </c>
      <c r="P49" s="159" t="s">
        <v>38</v>
      </c>
      <c r="Q49" s="128">
        <f>Q17+Q28+Q38</f>
        <v>765.57424261528342</v>
      </c>
      <c r="R49" s="128">
        <f>R17+R28+R38</f>
        <v>13543.910195547456</v>
      </c>
      <c r="S49" s="128">
        <f>S17+S28+S38+S39</f>
        <v>14744.642853785015</v>
      </c>
      <c r="T49" s="128">
        <f t="shared" ref="T49:Y49" si="13">T17+T28+T38</f>
        <v>10983.06831770278</v>
      </c>
      <c r="U49" s="128">
        <f t="shared" si="13"/>
        <v>682.76877075964308</v>
      </c>
      <c r="V49" s="128">
        <f t="shared" si="13"/>
        <v>8603.1137734040676</v>
      </c>
      <c r="W49" s="128">
        <f t="shared" si="13"/>
        <v>3160.7494609411419</v>
      </c>
      <c r="X49" s="128">
        <f t="shared" si="13"/>
        <v>1040.0260430698279</v>
      </c>
      <c r="Y49" s="128">
        <f t="shared" si="13"/>
        <v>2577.6015183819254</v>
      </c>
      <c r="Z49" s="128">
        <f>Z17+Z28+Z38+Z45</f>
        <v>20294.219842067749</v>
      </c>
      <c r="AA49" s="128">
        <f>AA17+AA28+AA38+AA45+AA47+AA48+AA39</f>
        <v>76395.67501827488</v>
      </c>
      <c r="AB49" s="133"/>
    </row>
    <row r="50" spans="14:28" x14ac:dyDescent="0.25">
      <c r="P50" s="60" t="s">
        <v>112</v>
      </c>
    </row>
    <row r="51" spans="14:28" x14ac:dyDescent="0.25">
      <c r="N51" s="160"/>
    </row>
  </sheetData>
  <mergeCells count="17">
    <mergeCell ref="X5:X8"/>
    <mergeCell ref="Y5:Y8"/>
    <mergeCell ref="Z5:Z8"/>
    <mergeCell ref="AA5:AA8"/>
    <mergeCell ref="Q6:V6"/>
    <mergeCell ref="W6:W8"/>
    <mergeCell ref="Q5:V5"/>
    <mergeCell ref="B5:B8"/>
    <mergeCell ref="C5:I5"/>
    <mergeCell ref="C6:H6"/>
    <mergeCell ref="I6:I8"/>
    <mergeCell ref="P5:P8"/>
    <mergeCell ref="H7:H8"/>
    <mergeCell ref="J5:J8"/>
    <mergeCell ref="K5:K8"/>
    <mergeCell ref="L5:L8"/>
    <mergeCell ref="M5:M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fitToWidth="2" orientation="landscape" verticalDpi="0" r:id="rId1"/>
  <colBreaks count="1" manualBreakCount="1">
    <brk id="14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08B35-D598-413B-9062-332788F652A5}">
  <dimension ref="A1:AA51"/>
  <sheetViews>
    <sheetView view="pageBreakPreview" topLeftCell="A21" zoomScale="70" zoomScaleNormal="100" zoomScaleSheetLayoutView="70" workbookViewId="0">
      <selection activeCell="P50" sqref="P50"/>
    </sheetView>
  </sheetViews>
  <sheetFormatPr defaultRowHeight="15" x14ac:dyDescent="0.25"/>
  <cols>
    <col min="1" max="1" width="9.140625" style="2"/>
    <col min="2" max="2" width="64.85546875" style="2" customWidth="1"/>
    <col min="3" max="13" width="13.7109375" style="2" customWidth="1"/>
    <col min="14" max="14" width="9.140625" style="2"/>
    <col min="15" max="15" width="9.140625" style="11"/>
    <col min="16" max="16" width="56.5703125" style="2" customWidth="1"/>
    <col min="17" max="27" width="13.7109375" style="2" customWidth="1"/>
    <col min="28" max="28" width="25.5703125" style="2" customWidth="1"/>
    <col min="29" max="16384" width="9.140625" style="2"/>
  </cols>
  <sheetData>
    <row r="1" spans="1:27" x14ac:dyDescent="0.25">
      <c r="K1" s="27" t="s">
        <v>61</v>
      </c>
      <c r="Y1" s="27" t="s">
        <v>62</v>
      </c>
    </row>
    <row r="2" spans="1:27" x14ac:dyDescent="0.25">
      <c r="B2" s="27" t="s">
        <v>56</v>
      </c>
      <c r="P2" s="27" t="s">
        <v>57</v>
      </c>
    </row>
    <row r="5" spans="1:27" ht="30" x14ac:dyDescent="0.25">
      <c r="A5" s="24"/>
      <c r="B5" s="173" t="s">
        <v>72</v>
      </c>
      <c r="C5" s="174" t="s">
        <v>50</v>
      </c>
      <c r="D5" s="174"/>
      <c r="E5" s="174"/>
      <c r="F5" s="174"/>
      <c r="G5" s="174"/>
      <c r="H5" s="174"/>
      <c r="I5" s="174"/>
      <c r="J5" s="176" t="s">
        <v>9</v>
      </c>
      <c r="K5" s="176" t="s">
        <v>48</v>
      </c>
      <c r="L5" s="176" t="s">
        <v>47</v>
      </c>
      <c r="M5" s="176" t="s">
        <v>10</v>
      </c>
      <c r="P5" s="177" t="s">
        <v>75</v>
      </c>
      <c r="Q5" s="178" t="s">
        <v>2</v>
      </c>
      <c r="R5" s="178"/>
      <c r="S5" s="178"/>
      <c r="T5" s="178"/>
      <c r="U5" s="178"/>
      <c r="V5" s="178"/>
      <c r="W5" s="6" t="s">
        <v>3</v>
      </c>
      <c r="X5" s="176" t="s">
        <v>4</v>
      </c>
      <c r="Y5" s="176" t="s">
        <v>15</v>
      </c>
      <c r="Z5" s="176" t="s">
        <v>51</v>
      </c>
      <c r="AA5" s="176" t="s">
        <v>10</v>
      </c>
    </row>
    <row r="6" spans="1:27" ht="45" customHeight="1" x14ac:dyDescent="0.25">
      <c r="A6" s="24"/>
      <c r="B6" s="173"/>
      <c r="C6" s="175" t="s">
        <v>0</v>
      </c>
      <c r="D6" s="175"/>
      <c r="E6" s="175"/>
      <c r="F6" s="175"/>
      <c r="G6" s="175"/>
      <c r="H6" s="175"/>
      <c r="I6" s="176" t="s">
        <v>1</v>
      </c>
      <c r="J6" s="176"/>
      <c r="K6" s="176"/>
      <c r="L6" s="176"/>
      <c r="M6" s="176"/>
      <c r="P6" s="177"/>
      <c r="Q6" s="174" t="s">
        <v>0</v>
      </c>
      <c r="R6" s="174"/>
      <c r="S6" s="174"/>
      <c r="T6" s="174"/>
      <c r="U6" s="174"/>
      <c r="V6" s="174"/>
      <c r="W6" s="176" t="s">
        <v>1</v>
      </c>
      <c r="X6" s="176"/>
      <c r="Y6" s="176"/>
      <c r="Z6" s="176"/>
      <c r="AA6" s="176"/>
    </row>
    <row r="7" spans="1:27" ht="78.75" x14ac:dyDescent="0.25">
      <c r="A7" s="24"/>
      <c r="B7" s="173"/>
      <c r="C7" s="7" t="s">
        <v>5</v>
      </c>
      <c r="D7" s="10" t="s">
        <v>71</v>
      </c>
      <c r="E7" s="7" t="s">
        <v>6</v>
      </c>
      <c r="F7" s="7" t="s">
        <v>70</v>
      </c>
      <c r="G7" s="7" t="s">
        <v>7</v>
      </c>
      <c r="H7" s="176" t="s">
        <v>8</v>
      </c>
      <c r="I7" s="176"/>
      <c r="J7" s="176"/>
      <c r="K7" s="176"/>
      <c r="L7" s="176"/>
      <c r="M7" s="176"/>
      <c r="P7" s="177"/>
      <c r="Q7" s="10" t="s">
        <v>5</v>
      </c>
      <c r="R7" s="10" t="s">
        <v>71</v>
      </c>
      <c r="S7" s="10" t="s">
        <v>6</v>
      </c>
      <c r="T7" s="10" t="s">
        <v>78</v>
      </c>
      <c r="U7" s="10" t="s">
        <v>7</v>
      </c>
      <c r="V7" s="10" t="s">
        <v>8</v>
      </c>
      <c r="W7" s="176"/>
      <c r="X7" s="176"/>
      <c r="Y7" s="176"/>
      <c r="Z7" s="176"/>
      <c r="AA7" s="176"/>
    </row>
    <row r="8" spans="1:27" ht="38.25" customHeight="1" x14ac:dyDescent="0.25">
      <c r="A8" s="24"/>
      <c r="B8" s="173"/>
      <c r="C8" s="8" t="s">
        <v>11</v>
      </c>
      <c r="D8" s="13" t="s">
        <v>49</v>
      </c>
      <c r="E8" s="8" t="s">
        <v>12</v>
      </c>
      <c r="F8" s="8" t="s">
        <v>13</v>
      </c>
      <c r="G8" s="8" t="s">
        <v>14</v>
      </c>
      <c r="H8" s="176"/>
      <c r="I8" s="176"/>
      <c r="J8" s="176"/>
      <c r="K8" s="176"/>
      <c r="L8" s="176"/>
      <c r="M8" s="176"/>
      <c r="P8" s="177"/>
      <c r="Q8" s="13" t="s">
        <v>11</v>
      </c>
      <c r="R8" s="13" t="s">
        <v>16</v>
      </c>
      <c r="S8" s="13" t="s">
        <v>12</v>
      </c>
      <c r="T8" s="13" t="s">
        <v>13</v>
      </c>
      <c r="U8" s="13" t="s">
        <v>14</v>
      </c>
      <c r="V8" s="9"/>
      <c r="W8" s="176"/>
      <c r="X8" s="176"/>
      <c r="Y8" s="176"/>
      <c r="Z8" s="176"/>
      <c r="AA8" s="176"/>
    </row>
    <row r="9" spans="1:27" ht="25.5" customHeight="1" x14ac:dyDescent="0.25">
      <c r="A9" s="20">
        <v>1</v>
      </c>
      <c r="B9" s="12" t="s">
        <v>17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O9" s="11">
        <v>1</v>
      </c>
      <c r="P9" s="12" t="s">
        <v>17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</row>
    <row r="10" spans="1:27" x14ac:dyDescent="0.25">
      <c r="A10" s="20"/>
      <c r="B10" s="14" t="s">
        <v>18</v>
      </c>
      <c r="C10" s="35"/>
      <c r="D10" s="35"/>
      <c r="E10" s="35"/>
      <c r="F10" s="35"/>
      <c r="G10" s="35"/>
      <c r="H10" s="35"/>
      <c r="I10" s="35"/>
      <c r="J10" s="35"/>
      <c r="K10" s="35"/>
      <c r="L10" s="34"/>
      <c r="M10" s="34"/>
      <c r="O10" s="2"/>
      <c r="P10" s="14" t="s">
        <v>18</v>
      </c>
      <c r="Q10" s="34"/>
      <c r="R10" s="34"/>
      <c r="S10" s="34"/>
      <c r="T10" s="34"/>
      <c r="U10" s="34"/>
      <c r="V10" s="34"/>
      <c r="W10" s="35"/>
      <c r="X10" s="35"/>
      <c r="Y10" s="35"/>
      <c r="Z10" s="35"/>
      <c r="AA10" s="34"/>
    </row>
    <row r="11" spans="1:27" x14ac:dyDescent="0.25">
      <c r="A11" s="20"/>
      <c r="B11" s="15" t="s">
        <v>19</v>
      </c>
      <c r="C11" s="35"/>
      <c r="D11" s="35"/>
      <c r="E11" s="35"/>
      <c r="F11" s="35"/>
      <c r="G11" s="35"/>
      <c r="H11" s="35"/>
      <c r="I11" s="35"/>
      <c r="J11" s="35"/>
      <c r="K11" s="35"/>
      <c r="L11" s="34">
        <v>1507.9438471630042</v>
      </c>
      <c r="M11" s="34">
        <f t="shared" ref="M11:M16" si="0">SUM(L11)</f>
        <v>1507.9438471630042</v>
      </c>
      <c r="P11" s="14" t="s">
        <v>19</v>
      </c>
      <c r="Q11" s="34"/>
      <c r="R11" s="34">
        <f>L11</f>
        <v>1507.9438471630042</v>
      </c>
      <c r="S11" s="34"/>
      <c r="T11" s="34"/>
      <c r="U11" s="34"/>
      <c r="V11" s="34"/>
      <c r="W11" s="35"/>
      <c r="X11" s="35"/>
      <c r="Y11" s="35"/>
      <c r="Z11" s="35"/>
      <c r="AA11" s="34">
        <f>SUM(Q11:V11)</f>
        <v>1507.9438471630042</v>
      </c>
    </row>
    <row r="12" spans="1:27" x14ac:dyDescent="0.25">
      <c r="A12" s="20"/>
      <c r="B12" s="15" t="s">
        <v>20</v>
      </c>
      <c r="C12" s="35"/>
      <c r="D12" s="35"/>
      <c r="E12" s="35"/>
      <c r="F12" s="35"/>
      <c r="G12" s="35"/>
      <c r="H12" s="35"/>
      <c r="I12" s="35"/>
      <c r="J12" s="35"/>
      <c r="K12" s="35"/>
      <c r="L12" s="3">
        <v>1228.6600000000001</v>
      </c>
      <c r="M12" s="34">
        <f t="shared" si="0"/>
        <v>1228.6600000000001</v>
      </c>
      <c r="P12" s="14" t="s">
        <v>20</v>
      </c>
      <c r="Q12" s="3"/>
      <c r="R12" s="3">
        <f>L12</f>
        <v>1228.6600000000001</v>
      </c>
      <c r="S12" s="3"/>
      <c r="T12" s="3"/>
      <c r="U12" s="3"/>
      <c r="V12" s="34"/>
      <c r="W12" s="35"/>
      <c r="X12" s="35"/>
      <c r="Y12" s="35"/>
      <c r="Z12" s="35"/>
      <c r="AA12" s="34">
        <f t="shared" ref="AA12:AA16" si="1">SUM(Q12:V12)</f>
        <v>1228.6600000000001</v>
      </c>
    </row>
    <row r="13" spans="1:27" x14ac:dyDescent="0.25">
      <c r="A13" s="20"/>
      <c r="B13" s="15" t="s">
        <v>21</v>
      </c>
      <c r="C13" s="35"/>
      <c r="D13" s="35"/>
      <c r="E13" s="35"/>
      <c r="F13" s="35"/>
      <c r="G13" s="35"/>
      <c r="H13" s="35"/>
      <c r="I13" s="35"/>
      <c r="J13" s="35"/>
      <c r="K13" s="35"/>
      <c r="L13" s="3">
        <v>10201.566647244723</v>
      </c>
      <c r="M13" s="34">
        <f t="shared" si="0"/>
        <v>10201.566647244723</v>
      </c>
      <c r="P13" s="15" t="s">
        <v>21</v>
      </c>
      <c r="Q13" s="3"/>
      <c r="R13" s="3">
        <f>L13</f>
        <v>10201.566647244723</v>
      </c>
      <c r="S13" s="3"/>
      <c r="T13" s="3"/>
      <c r="U13" s="3"/>
      <c r="V13" s="34"/>
      <c r="W13" s="35"/>
      <c r="X13" s="35"/>
      <c r="Y13" s="35"/>
      <c r="Z13" s="35"/>
      <c r="AA13" s="34">
        <f t="shared" si="1"/>
        <v>10201.566647244723</v>
      </c>
    </row>
    <row r="14" spans="1:27" ht="15.75" x14ac:dyDescent="0.25">
      <c r="A14" s="20"/>
      <c r="B14" s="15" t="s">
        <v>22</v>
      </c>
      <c r="C14" s="35"/>
      <c r="D14" s="35"/>
      <c r="E14" s="35"/>
      <c r="F14" s="35"/>
      <c r="G14" s="35"/>
      <c r="H14" s="35"/>
      <c r="I14" s="117"/>
      <c r="J14" s="35"/>
      <c r="K14" s="35"/>
      <c r="L14" s="3">
        <v>514.31983064736414</v>
      </c>
      <c r="M14" s="34">
        <f t="shared" si="0"/>
        <v>514.31983064736414</v>
      </c>
      <c r="P14" s="15" t="s">
        <v>22</v>
      </c>
      <c r="Q14" s="3"/>
      <c r="R14" s="3">
        <f>L14</f>
        <v>514.31983064736414</v>
      </c>
      <c r="S14" s="3"/>
      <c r="T14" s="3"/>
      <c r="U14" s="3"/>
      <c r="V14" s="34"/>
      <c r="W14" s="35"/>
      <c r="X14" s="35"/>
      <c r="Y14" s="35"/>
      <c r="Z14" s="35"/>
      <c r="AA14" s="34">
        <f t="shared" si="1"/>
        <v>514.31983064736414</v>
      </c>
    </row>
    <row r="15" spans="1:27" x14ac:dyDescent="0.25">
      <c r="A15" s="20"/>
      <c r="B15" s="14" t="s">
        <v>39</v>
      </c>
      <c r="C15" s="35"/>
      <c r="D15" s="35"/>
      <c r="E15" s="35"/>
      <c r="F15" s="35"/>
      <c r="G15" s="35"/>
      <c r="H15" s="35"/>
      <c r="I15" s="35"/>
      <c r="J15" s="35"/>
      <c r="K15" s="35"/>
      <c r="L15" s="36">
        <v>879.3442180599925</v>
      </c>
      <c r="M15" s="3">
        <f t="shared" si="0"/>
        <v>879.3442180599925</v>
      </c>
      <c r="P15" s="14" t="s">
        <v>23</v>
      </c>
      <c r="Q15" s="3">
        <v>52.394168135573501</v>
      </c>
      <c r="R15" s="36"/>
      <c r="S15" s="3"/>
      <c r="T15" s="3">
        <f>M15-Q15</f>
        <v>826.95004992441898</v>
      </c>
      <c r="U15" s="3"/>
      <c r="V15" s="34"/>
      <c r="W15" s="35"/>
      <c r="X15" s="35"/>
      <c r="Y15" s="35"/>
      <c r="Z15" s="35"/>
      <c r="AA15" s="34">
        <f t="shared" si="1"/>
        <v>879.3442180599925</v>
      </c>
    </row>
    <row r="16" spans="1:27" x14ac:dyDescent="0.25">
      <c r="A16" s="20"/>
      <c r="B16" s="14" t="s">
        <v>73</v>
      </c>
      <c r="C16" s="35"/>
      <c r="D16" s="35"/>
      <c r="E16" s="35"/>
      <c r="F16" s="35"/>
      <c r="G16" s="35"/>
      <c r="H16" s="35"/>
      <c r="I16" s="35"/>
      <c r="J16" s="35"/>
      <c r="K16" s="35"/>
      <c r="L16" s="5">
        <v>30.23404545157652</v>
      </c>
      <c r="M16" s="3">
        <f t="shared" si="0"/>
        <v>30.23404545157652</v>
      </c>
      <c r="P16" s="14" t="s">
        <v>74</v>
      </c>
      <c r="Q16" s="5">
        <f>L16</f>
        <v>30.23404545157652</v>
      </c>
      <c r="R16" s="5"/>
      <c r="S16" s="3"/>
      <c r="T16" s="3"/>
      <c r="U16" s="3"/>
      <c r="V16" s="34"/>
      <c r="W16" s="35"/>
      <c r="X16" s="35"/>
      <c r="Y16" s="35"/>
      <c r="Z16" s="35"/>
      <c r="AA16" s="34">
        <f t="shared" si="1"/>
        <v>30.23404545157652</v>
      </c>
    </row>
    <row r="17" spans="1:27" x14ac:dyDescent="0.25">
      <c r="A17" s="20"/>
      <c r="B17" s="16" t="s">
        <v>10</v>
      </c>
      <c r="C17" s="35"/>
      <c r="D17" s="35"/>
      <c r="E17" s="35"/>
      <c r="F17" s="35"/>
      <c r="G17" s="35"/>
      <c r="H17" s="35"/>
      <c r="I17" s="35"/>
      <c r="J17" s="35"/>
      <c r="K17" s="35"/>
      <c r="L17" s="37">
        <f>SUM(L11:L16)</f>
        <v>14362.068588566661</v>
      </c>
      <c r="M17" s="38">
        <f>SUM(L17)</f>
        <v>14362.068588566661</v>
      </c>
      <c r="P17" s="16" t="s">
        <v>44</v>
      </c>
      <c r="Q17" s="37">
        <f t="shared" ref="Q17:V17" si="2">SUM(Q11:Q16)</f>
        <v>82.628213587150015</v>
      </c>
      <c r="R17" s="37">
        <f t="shared" si="2"/>
        <v>13452.490325055092</v>
      </c>
      <c r="S17" s="37">
        <f t="shared" si="2"/>
        <v>0</v>
      </c>
      <c r="T17" s="37">
        <f t="shared" si="2"/>
        <v>826.95004992441898</v>
      </c>
      <c r="U17" s="37">
        <f t="shared" si="2"/>
        <v>0</v>
      </c>
      <c r="V17" s="37">
        <f t="shared" si="2"/>
        <v>0</v>
      </c>
      <c r="W17" s="39"/>
      <c r="X17" s="39"/>
      <c r="Y17" s="39"/>
      <c r="Z17" s="39"/>
      <c r="AA17" s="38">
        <f>SUM(Q17:V17)</f>
        <v>14362.068588566661</v>
      </c>
    </row>
    <row r="18" spans="1:27" x14ac:dyDescent="0.25">
      <c r="A18" s="20">
        <v>2</v>
      </c>
      <c r="B18" s="12" t="s">
        <v>24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O18" s="11">
        <v>2</v>
      </c>
      <c r="P18" s="12" t="s">
        <v>24</v>
      </c>
      <c r="Q18" s="3"/>
      <c r="R18" s="3"/>
      <c r="S18" s="3"/>
      <c r="T18" s="3"/>
      <c r="U18" s="3"/>
      <c r="V18" s="34"/>
      <c r="W18" s="34"/>
      <c r="X18" s="34"/>
      <c r="Y18" s="34"/>
      <c r="Z18" s="34"/>
      <c r="AA18" s="34"/>
    </row>
    <row r="19" spans="1:27" x14ac:dyDescent="0.25">
      <c r="A19" s="20"/>
      <c r="B19" s="17" t="s">
        <v>25</v>
      </c>
      <c r="C19" s="34"/>
      <c r="D19" s="34"/>
      <c r="E19" s="34"/>
      <c r="F19" s="34"/>
      <c r="G19" s="34"/>
      <c r="H19" s="34"/>
      <c r="I19" s="35"/>
      <c r="J19" s="35"/>
      <c r="K19" s="3"/>
      <c r="L19" s="35"/>
      <c r="M19" s="34"/>
      <c r="O19" s="2"/>
      <c r="P19" s="19" t="s">
        <v>77</v>
      </c>
      <c r="Q19" s="3"/>
      <c r="R19" s="3"/>
      <c r="S19" s="3"/>
      <c r="T19" s="3"/>
      <c r="U19" s="3"/>
      <c r="V19" s="3"/>
      <c r="W19" s="35"/>
      <c r="X19" s="35"/>
      <c r="Y19" s="35"/>
      <c r="Z19" s="35"/>
      <c r="AA19" s="34"/>
    </row>
    <row r="20" spans="1:27" x14ac:dyDescent="0.25">
      <c r="A20" s="20"/>
      <c r="B20" s="15" t="s">
        <v>21</v>
      </c>
      <c r="C20" s="34"/>
      <c r="D20" s="3">
        <v>9953.5975949614567</v>
      </c>
      <c r="E20" s="34"/>
      <c r="F20" s="34"/>
      <c r="G20" s="34"/>
      <c r="H20" s="34"/>
      <c r="I20" s="35"/>
      <c r="J20" s="35"/>
      <c r="K20" s="3">
        <v>2889.134783194615</v>
      </c>
      <c r="L20" s="35"/>
      <c r="M20" s="34">
        <f t="shared" ref="M20:M22" si="3">SUM(C20:L20)</f>
        <v>12842.732378156072</v>
      </c>
      <c r="N20" s="18"/>
      <c r="O20" s="33"/>
      <c r="P20" s="15" t="s">
        <v>21</v>
      </c>
      <c r="Q20" s="3"/>
      <c r="R20" s="3"/>
      <c r="S20" s="3"/>
      <c r="T20" s="3">
        <v>8095.2602522064572</v>
      </c>
      <c r="U20" s="3"/>
      <c r="V20" s="3"/>
      <c r="W20" s="35"/>
      <c r="X20" s="35"/>
      <c r="Y20" s="35"/>
      <c r="Z20" s="35"/>
      <c r="AA20" s="34">
        <f>SUM(Q20:Z20)</f>
        <v>8095.2602522064572</v>
      </c>
    </row>
    <row r="21" spans="1:27" x14ac:dyDescent="0.25">
      <c r="A21" s="20"/>
      <c r="B21" s="15" t="s">
        <v>26</v>
      </c>
      <c r="C21" s="34"/>
      <c r="D21" s="5">
        <f>L12</f>
        <v>1228.6600000000001</v>
      </c>
      <c r="E21" s="34"/>
      <c r="F21" s="34"/>
      <c r="G21" s="34"/>
      <c r="H21" s="34"/>
      <c r="I21" s="35"/>
      <c r="J21" s="35"/>
      <c r="K21" s="3">
        <v>957.22</v>
      </c>
      <c r="L21" s="35"/>
      <c r="M21" s="3">
        <f t="shared" si="3"/>
        <v>2185.88</v>
      </c>
      <c r="N21" s="18"/>
      <c r="O21" s="33"/>
      <c r="P21" s="15" t="s">
        <v>26</v>
      </c>
      <c r="Q21" s="3"/>
      <c r="R21" s="3"/>
      <c r="S21" s="3"/>
      <c r="T21" s="3">
        <v>490.70090789136816</v>
      </c>
      <c r="U21" s="3"/>
      <c r="V21" s="3"/>
      <c r="W21" s="35"/>
      <c r="X21" s="35"/>
      <c r="Y21" s="35"/>
      <c r="Z21" s="35"/>
      <c r="AA21" s="34">
        <f>SUM(Q21:Z21)</f>
        <v>490.70090789136816</v>
      </c>
    </row>
    <row r="22" spans="1:27" x14ac:dyDescent="0.25">
      <c r="A22" s="20"/>
      <c r="B22" s="15" t="s">
        <v>27</v>
      </c>
      <c r="C22" s="34">
        <f>L16+Q15</f>
        <v>82.628213587150015</v>
      </c>
      <c r="D22" s="3"/>
      <c r="E22" s="3"/>
      <c r="F22" s="3"/>
      <c r="G22" s="3"/>
      <c r="H22" s="34"/>
      <c r="I22" s="35"/>
      <c r="J22" s="35"/>
      <c r="K22" s="3"/>
      <c r="L22" s="35"/>
      <c r="M22" s="3">
        <f t="shared" si="3"/>
        <v>82.628213587150015</v>
      </c>
      <c r="N22" s="18"/>
      <c r="O22" s="33"/>
      <c r="P22" s="15" t="s">
        <v>27</v>
      </c>
      <c r="Q22" s="3"/>
      <c r="R22" s="3"/>
      <c r="S22" s="3"/>
      <c r="T22" s="3">
        <f>Q15</f>
        <v>52.394168135573501</v>
      </c>
      <c r="U22" s="3"/>
      <c r="V22" s="3"/>
      <c r="W22" s="35"/>
      <c r="X22" s="35"/>
      <c r="Y22" s="35"/>
      <c r="Z22" s="35"/>
      <c r="AA22" s="34">
        <f t="shared" ref="AA22:AA27" si="4">SUM(Q22:Z22)</f>
        <v>52.394168135573501</v>
      </c>
    </row>
    <row r="23" spans="1:27" x14ac:dyDescent="0.25">
      <c r="A23" s="20"/>
      <c r="B23" s="15" t="s">
        <v>28</v>
      </c>
      <c r="C23" s="3"/>
      <c r="D23" s="3"/>
      <c r="E23" s="3"/>
      <c r="F23" s="3">
        <f>5066.63952327821</f>
        <v>5066.6395232782097</v>
      </c>
      <c r="G23" s="3"/>
      <c r="H23" s="34"/>
      <c r="I23" s="35"/>
      <c r="J23" s="35"/>
      <c r="K23" s="36">
        <v>20.222220623297002</v>
      </c>
      <c r="L23" s="35"/>
      <c r="M23" s="3">
        <f t="shared" ref="M23:M27" si="5">SUM(C23:L23)</f>
        <v>5086.861743901507</v>
      </c>
      <c r="N23" s="18"/>
      <c r="O23" s="33"/>
      <c r="P23" s="15" t="s">
        <v>28</v>
      </c>
      <c r="Q23" s="3"/>
      <c r="R23" s="3"/>
      <c r="S23" s="3"/>
      <c r="T23" s="3"/>
      <c r="U23" s="3"/>
      <c r="V23" s="3"/>
      <c r="W23" s="35"/>
      <c r="X23" s="35"/>
      <c r="Y23" s="35"/>
      <c r="Z23" s="35"/>
      <c r="AA23" s="34">
        <f t="shared" si="4"/>
        <v>0</v>
      </c>
    </row>
    <row r="24" spans="1:27" ht="19.5" customHeight="1" x14ac:dyDescent="0.25">
      <c r="A24" s="20"/>
      <c r="B24" s="15" t="s">
        <v>29</v>
      </c>
      <c r="C24" s="34"/>
      <c r="D24" s="3"/>
      <c r="E24" s="3"/>
      <c r="F24" s="3">
        <f>L15</f>
        <v>879.3442180599925</v>
      </c>
      <c r="G24" s="3"/>
      <c r="H24" s="34"/>
      <c r="I24" s="35"/>
      <c r="J24" s="35"/>
      <c r="K24" s="34"/>
      <c r="L24" s="35"/>
      <c r="M24" s="3">
        <f>SUM(C24:L24)</f>
        <v>879.3442180599925</v>
      </c>
      <c r="N24" s="18"/>
      <c r="O24" s="33"/>
      <c r="P24" s="15" t="s">
        <v>29</v>
      </c>
      <c r="Q24" s="3"/>
      <c r="R24" s="3"/>
      <c r="S24" s="3"/>
      <c r="T24" s="3">
        <f>M15</f>
        <v>879.3442180599925</v>
      </c>
      <c r="U24" s="3"/>
      <c r="V24" s="3"/>
      <c r="W24" s="35"/>
      <c r="X24" s="35"/>
      <c r="Y24" s="35"/>
      <c r="Z24" s="35"/>
      <c r="AA24" s="34">
        <f t="shared" si="4"/>
        <v>879.3442180599925</v>
      </c>
    </row>
    <row r="25" spans="1:27" ht="27" customHeight="1" x14ac:dyDescent="0.25">
      <c r="A25" s="20"/>
      <c r="B25" s="15" t="s">
        <v>22</v>
      </c>
      <c r="C25" s="34"/>
      <c r="D25" s="3">
        <v>514.31983064736414</v>
      </c>
      <c r="E25" s="3"/>
      <c r="F25" s="3"/>
      <c r="G25" s="3"/>
      <c r="H25" s="34"/>
      <c r="I25" s="35"/>
      <c r="J25" s="35"/>
      <c r="K25" s="3">
        <v>0.21605299098606939</v>
      </c>
      <c r="L25" s="35"/>
      <c r="M25" s="3">
        <f t="shared" si="5"/>
        <v>514.53588363835024</v>
      </c>
      <c r="N25" s="18"/>
      <c r="O25" s="33"/>
      <c r="P25" s="15" t="s">
        <v>22</v>
      </c>
      <c r="Q25" s="3"/>
      <c r="R25" s="3"/>
      <c r="S25" s="3"/>
      <c r="T25" s="3">
        <v>441.47585905490303</v>
      </c>
      <c r="U25" s="3"/>
      <c r="V25" s="3"/>
      <c r="W25" s="35"/>
      <c r="X25" s="35"/>
      <c r="Y25" s="35"/>
      <c r="Z25" s="35"/>
      <c r="AA25" s="34">
        <f t="shared" si="4"/>
        <v>441.47585905490303</v>
      </c>
    </row>
    <row r="26" spans="1:27" ht="30.75" customHeight="1" x14ac:dyDescent="0.25">
      <c r="A26" s="20"/>
      <c r="B26" s="15" t="s">
        <v>19</v>
      </c>
      <c r="C26" s="34"/>
      <c r="D26" s="3">
        <v>1507.894797383964</v>
      </c>
      <c r="E26" s="3"/>
      <c r="F26" s="3"/>
      <c r="G26" s="3"/>
      <c r="H26" s="34"/>
      <c r="I26" s="35"/>
      <c r="J26" s="35"/>
      <c r="K26" s="3">
        <v>8958.5444613285908</v>
      </c>
      <c r="L26" s="35"/>
      <c r="M26" s="3">
        <f t="shared" si="5"/>
        <v>10466.439258712555</v>
      </c>
      <c r="N26" s="18"/>
      <c r="O26" s="33"/>
      <c r="P26" s="15" t="s">
        <v>19</v>
      </c>
      <c r="Q26" s="3"/>
      <c r="R26" s="3"/>
      <c r="S26" s="3">
        <v>10276.296031485734</v>
      </c>
      <c r="T26" s="3"/>
      <c r="U26" s="3"/>
      <c r="V26" s="3"/>
      <c r="W26" s="35"/>
      <c r="X26" s="35"/>
      <c r="Y26" s="35"/>
      <c r="Z26" s="35"/>
      <c r="AA26" s="34">
        <f t="shared" si="4"/>
        <v>10276.296031485734</v>
      </c>
    </row>
    <row r="27" spans="1:27" x14ac:dyDescent="0.25">
      <c r="A27" s="20"/>
      <c r="B27" s="15" t="s">
        <v>30</v>
      </c>
      <c r="C27" s="34"/>
      <c r="D27" s="3"/>
      <c r="E27" s="3">
        <v>10197.356334690488</v>
      </c>
      <c r="F27" s="3"/>
      <c r="G27" s="3"/>
      <c r="H27" s="34"/>
      <c r="I27" s="35"/>
      <c r="J27" s="35"/>
      <c r="K27" s="3">
        <v>1519.5528769480786</v>
      </c>
      <c r="L27" s="35"/>
      <c r="M27" s="34">
        <f t="shared" si="5"/>
        <v>11716.909211638567</v>
      </c>
      <c r="N27" s="18"/>
      <c r="O27" s="33"/>
      <c r="P27" s="15" t="s">
        <v>30</v>
      </c>
      <c r="Q27" s="3"/>
      <c r="R27" s="3"/>
      <c r="S27" s="3"/>
      <c r="T27" s="3">
        <v>34.498698704547586</v>
      </c>
      <c r="U27" s="3"/>
      <c r="V27" s="3"/>
      <c r="W27" s="35"/>
      <c r="X27" s="35"/>
      <c r="Y27" s="35"/>
      <c r="Z27" s="35"/>
      <c r="AA27" s="34">
        <f t="shared" si="4"/>
        <v>34.498698704547586</v>
      </c>
    </row>
    <row r="28" spans="1:27" x14ac:dyDescent="0.25">
      <c r="A28" s="20"/>
      <c r="B28" s="30" t="s">
        <v>44</v>
      </c>
      <c r="C28" s="38">
        <f t="shared" ref="C28:M28" si="6">SUM(C19:C27)</f>
        <v>82.628213587150015</v>
      </c>
      <c r="D28" s="36">
        <f t="shared" si="6"/>
        <v>13204.472222992785</v>
      </c>
      <c r="E28" s="36">
        <f t="shared" si="6"/>
        <v>10197.356334690488</v>
      </c>
      <c r="F28" s="36">
        <f t="shared" si="6"/>
        <v>5945.983741338202</v>
      </c>
      <c r="G28" s="36">
        <f t="shared" si="6"/>
        <v>0</v>
      </c>
      <c r="H28" s="38">
        <f t="shared" si="6"/>
        <v>0</v>
      </c>
      <c r="I28" s="38">
        <f t="shared" si="6"/>
        <v>0</v>
      </c>
      <c r="J28" s="38">
        <f t="shared" si="6"/>
        <v>0</v>
      </c>
      <c r="K28" s="38">
        <f t="shared" si="6"/>
        <v>14344.890395085567</v>
      </c>
      <c r="L28" s="38">
        <f t="shared" si="6"/>
        <v>0</v>
      </c>
      <c r="M28" s="38">
        <f t="shared" si="6"/>
        <v>43775.330907694188</v>
      </c>
      <c r="N28" s="18"/>
      <c r="O28" s="33"/>
      <c r="P28" s="21" t="s">
        <v>52</v>
      </c>
      <c r="Q28" s="36">
        <f t="shared" ref="Q28:V28" si="7">SUM(Q20:Q27)</f>
        <v>0</v>
      </c>
      <c r="R28" s="36">
        <f t="shared" si="7"/>
        <v>0</v>
      </c>
      <c r="S28" s="36">
        <f t="shared" si="7"/>
        <v>10276.296031485734</v>
      </c>
      <c r="T28" s="36">
        <f t="shared" si="7"/>
        <v>9993.6741040528414</v>
      </c>
      <c r="U28" s="36">
        <f t="shared" si="7"/>
        <v>0</v>
      </c>
      <c r="V28" s="36">
        <f t="shared" si="7"/>
        <v>0</v>
      </c>
      <c r="W28" s="39"/>
      <c r="X28" s="39"/>
      <c r="Y28" s="39"/>
      <c r="Z28" s="39"/>
      <c r="AA28" s="38">
        <f>SUM(Q28:Z28)</f>
        <v>20269.970135538577</v>
      </c>
    </row>
    <row r="29" spans="1:27" x14ac:dyDescent="0.25">
      <c r="A29" s="20">
        <v>3</v>
      </c>
      <c r="B29" s="12" t="s">
        <v>31</v>
      </c>
      <c r="C29" s="34"/>
      <c r="D29" s="3"/>
      <c r="E29" s="3"/>
      <c r="F29" s="3"/>
      <c r="G29" s="3"/>
      <c r="H29" s="34"/>
      <c r="I29" s="34"/>
      <c r="J29" s="34"/>
      <c r="K29" s="34"/>
      <c r="L29" s="34"/>
      <c r="M29" s="34"/>
      <c r="P29" s="19" t="s">
        <v>32</v>
      </c>
      <c r="Q29" s="3"/>
      <c r="R29" s="3"/>
      <c r="S29" s="3"/>
      <c r="T29" s="3"/>
      <c r="U29" s="3"/>
      <c r="V29" s="3"/>
      <c r="W29" s="34"/>
      <c r="X29" s="34"/>
      <c r="Y29" s="3"/>
      <c r="Z29" s="34"/>
      <c r="AA29" s="34"/>
    </row>
    <row r="30" spans="1:27" x14ac:dyDescent="0.25">
      <c r="A30" s="20"/>
      <c r="B30" s="31" t="s">
        <v>40</v>
      </c>
      <c r="C30" s="34"/>
      <c r="D30" s="3">
        <v>0</v>
      </c>
      <c r="E30" s="3"/>
      <c r="F30" s="3">
        <v>897.10656590599456</v>
      </c>
      <c r="G30" s="3"/>
      <c r="H30" s="3"/>
      <c r="I30" s="34"/>
      <c r="J30" s="34"/>
      <c r="K30" s="34"/>
      <c r="L30" s="34"/>
      <c r="M30" s="34">
        <f>SUM(C30:I30)</f>
        <v>897.10656590599456</v>
      </c>
      <c r="P30" s="15" t="s">
        <v>21</v>
      </c>
      <c r="Q30" s="3"/>
      <c r="R30" s="3"/>
      <c r="S30" s="3">
        <v>1026.8787488828082</v>
      </c>
      <c r="T30" s="3"/>
      <c r="U30" s="3"/>
      <c r="V30" s="3">
        <v>3545.1298018377834</v>
      </c>
      <c r="W30" s="3"/>
      <c r="X30" s="3">
        <f>174.419599486091+(-26)</f>
        <v>148.41959948609099</v>
      </c>
      <c r="Y30" s="3">
        <v>26.825637568428107</v>
      </c>
      <c r="Z30" s="52"/>
      <c r="AA30" s="34">
        <f>SUM(Q30:Z30)</f>
        <v>4747.2537877751101</v>
      </c>
    </row>
    <row r="31" spans="1:27" x14ac:dyDescent="0.25">
      <c r="A31" s="20"/>
      <c r="B31" s="31" t="s">
        <v>41</v>
      </c>
      <c r="C31" s="34"/>
      <c r="D31" s="3">
        <v>40.446000000000005</v>
      </c>
      <c r="E31" s="3"/>
      <c r="F31" s="3">
        <v>87.325039889950375</v>
      </c>
      <c r="G31" s="3"/>
      <c r="H31" s="3"/>
      <c r="I31" s="34"/>
      <c r="J31" s="35"/>
      <c r="K31" s="35"/>
      <c r="L31" s="35"/>
      <c r="M31" s="34">
        <f>SUM(C31:I31)</f>
        <v>127.77103988995037</v>
      </c>
      <c r="P31" s="15" t="s">
        <v>26</v>
      </c>
      <c r="Q31" s="3">
        <v>7.730566988991078</v>
      </c>
      <c r="R31" s="3">
        <v>259.07960296984857</v>
      </c>
      <c r="S31" s="3">
        <v>898.85794749591355</v>
      </c>
      <c r="T31" s="3">
        <v>19.896705201173763</v>
      </c>
      <c r="U31" s="3">
        <v>279.44098706107093</v>
      </c>
      <c r="V31" s="3">
        <v>158.24428382929281</v>
      </c>
      <c r="W31" s="3">
        <v>31.048998562341222</v>
      </c>
      <c r="X31" s="3">
        <v>41</v>
      </c>
      <c r="Y31" s="3"/>
      <c r="Z31" s="52"/>
      <c r="AA31" s="34">
        <f t="shared" ref="AA31:AA37" si="8">SUM(Q31:Z31)</f>
        <v>1695.2990921086318</v>
      </c>
    </row>
    <row r="32" spans="1:27" x14ac:dyDescent="0.25">
      <c r="A32" s="20"/>
      <c r="B32" s="31" t="s">
        <v>43</v>
      </c>
      <c r="C32" s="34"/>
      <c r="D32" s="34">
        <v>247.96905228326463</v>
      </c>
      <c r="E32" s="34"/>
      <c r="F32" s="34"/>
      <c r="G32" s="34"/>
      <c r="H32" s="3"/>
      <c r="I32" s="34"/>
      <c r="J32" s="35"/>
      <c r="K32" s="35"/>
      <c r="L32" s="35"/>
      <c r="M32" s="34">
        <f>SUM(C32:I32)</f>
        <v>247.96905228326463</v>
      </c>
      <c r="P32" s="15" t="s">
        <v>27</v>
      </c>
      <c r="Q32" s="3"/>
      <c r="R32" s="3"/>
      <c r="S32" s="3"/>
      <c r="T32" s="3"/>
      <c r="U32" s="3"/>
      <c r="V32" s="3"/>
      <c r="W32" s="3">
        <f>L16</f>
        <v>30.23404545157652</v>
      </c>
      <c r="X32" s="3"/>
      <c r="Y32" s="3"/>
      <c r="Z32" s="52"/>
      <c r="AA32" s="34">
        <f t="shared" si="8"/>
        <v>30.23404545157652</v>
      </c>
    </row>
    <row r="33" spans="1:27" x14ac:dyDescent="0.25">
      <c r="A33" s="20"/>
      <c r="B33" s="31" t="s">
        <v>46</v>
      </c>
      <c r="C33" s="34">
        <f t="shared" ref="C33:I33" si="9">Q38</f>
        <v>741.16334072824725</v>
      </c>
      <c r="D33" s="34">
        <f t="shared" si="9"/>
        <v>347.01774513392888</v>
      </c>
      <c r="E33" s="34">
        <f t="shared" si="9"/>
        <v>4989.8561003565164</v>
      </c>
      <c r="F33" s="34">
        <f t="shared" si="9"/>
        <v>607.6429376663458</v>
      </c>
      <c r="G33" s="34">
        <f t="shared" si="9"/>
        <v>761.48768479003547</v>
      </c>
      <c r="H33" s="34">
        <f t="shared" si="9"/>
        <v>8764.3325284351504</v>
      </c>
      <c r="I33" s="34">
        <f t="shared" si="9"/>
        <v>3324.5757017438068</v>
      </c>
      <c r="J33" s="35"/>
      <c r="K33" s="35"/>
      <c r="L33" s="35"/>
      <c r="M33" s="34">
        <f>SUM(C33:I33)</f>
        <v>19536.076038854033</v>
      </c>
      <c r="P33" s="15" t="s">
        <v>28</v>
      </c>
      <c r="Q33" s="36">
        <v>688.14157947124875</v>
      </c>
      <c r="R33" s="3">
        <v>0</v>
      </c>
      <c r="S33" s="3">
        <v>1908.1059973985248</v>
      </c>
      <c r="T33" s="3">
        <v>532.03874152741309</v>
      </c>
      <c r="U33" s="3">
        <v>56.458634225547307</v>
      </c>
      <c r="V33" s="3">
        <v>246.57407600653011</v>
      </c>
      <c r="W33" s="36">
        <f>920.970895835291+710</f>
        <v>1630.970895835291</v>
      </c>
      <c r="X33" s="3"/>
      <c r="Y33" s="36">
        <v>24.15660128832592</v>
      </c>
      <c r="Z33" s="52"/>
      <c r="AA33" s="34">
        <f t="shared" si="8"/>
        <v>5086.4465257528809</v>
      </c>
    </row>
    <row r="34" spans="1:27" x14ac:dyDescent="0.25">
      <c r="A34" s="20"/>
      <c r="B34" s="32" t="s">
        <v>42</v>
      </c>
      <c r="C34" s="38">
        <f>C30+C31+C32+C33</f>
        <v>741.16334072824725</v>
      </c>
      <c r="D34" s="38">
        <f t="shared" ref="D34:I34" si="10">D30+D31+D32+D33</f>
        <v>635.43279741719357</v>
      </c>
      <c r="E34" s="38">
        <f t="shared" si="10"/>
        <v>4989.8561003565164</v>
      </c>
      <c r="F34" s="38">
        <f>F30+F31+F32+F33</f>
        <v>1592.0745434622909</v>
      </c>
      <c r="G34" s="38">
        <f t="shared" si="10"/>
        <v>761.48768479003547</v>
      </c>
      <c r="H34" s="38">
        <f t="shared" si="10"/>
        <v>8764.3325284351504</v>
      </c>
      <c r="I34" s="38">
        <f t="shared" si="10"/>
        <v>3324.5757017438068</v>
      </c>
      <c r="J34" s="39"/>
      <c r="K34" s="39"/>
      <c r="L34" s="39"/>
      <c r="M34" s="38">
        <f>SUM(C34:I34)</f>
        <v>20808.922696933245</v>
      </c>
      <c r="P34" s="15" t="s">
        <v>29</v>
      </c>
      <c r="Q34" s="3"/>
      <c r="R34" s="3"/>
      <c r="S34" s="3"/>
      <c r="T34" s="3"/>
      <c r="U34" s="3"/>
      <c r="V34" s="3"/>
      <c r="W34" s="3"/>
      <c r="X34" s="3"/>
      <c r="Y34" s="3"/>
      <c r="Z34" s="52"/>
      <c r="AA34" s="34">
        <f t="shared" si="8"/>
        <v>0</v>
      </c>
    </row>
    <row r="35" spans="1:27" x14ac:dyDescent="0.25">
      <c r="A35" s="20">
        <v>4</v>
      </c>
      <c r="B35" s="12" t="s">
        <v>33</v>
      </c>
      <c r="C35" s="34"/>
      <c r="D35" s="34"/>
      <c r="E35" s="34"/>
      <c r="F35" s="34"/>
      <c r="G35" s="34"/>
      <c r="H35" s="3"/>
      <c r="I35" s="34"/>
      <c r="J35" s="34"/>
      <c r="K35" s="34"/>
      <c r="L35" s="34"/>
      <c r="M35" s="34"/>
      <c r="P35" s="15" t="s">
        <v>22</v>
      </c>
      <c r="Q35" s="3"/>
      <c r="R35" s="3"/>
      <c r="S35" s="3">
        <v>24.448101611581521</v>
      </c>
      <c r="T35" s="3"/>
      <c r="U35" s="3"/>
      <c r="V35" s="3">
        <v>24.90295001365747</v>
      </c>
      <c r="W35" s="3"/>
      <c r="X35" s="3">
        <v>23.583889647637299</v>
      </c>
      <c r="Y35" s="59">
        <v>6.1177110079213337E-2</v>
      </c>
      <c r="Z35" s="52"/>
      <c r="AA35" s="34">
        <f t="shared" si="8"/>
        <v>72.996118382955515</v>
      </c>
    </row>
    <row r="36" spans="1:27" x14ac:dyDescent="0.25">
      <c r="A36" s="20"/>
      <c r="B36" s="14" t="s">
        <v>34</v>
      </c>
      <c r="C36" s="34"/>
      <c r="D36" s="34"/>
      <c r="E36" s="34"/>
      <c r="F36" s="34"/>
      <c r="G36" s="34"/>
      <c r="H36" s="34"/>
      <c r="I36" s="34"/>
      <c r="J36" s="35"/>
      <c r="K36" s="35"/>
      <c r="L36" s="35"/>
      <c r="M36" s="34">
        <f>SUM(C36:I36)</f>
        <v>0</v>
      </c>
      <c r="N36" s="24"/>
      <c r="O36" s="20"/>
      <c r="P36" s="15" t="s">
        <v>19</v>
      </c>
      <c r="Q36" s="3"/>
      <c r="R36" s="3"/>
      <c r="S36" s="3">
        <v>19</v>
      </c>
      <c r="T36" s="3"/>
      <c r="U36" s="3"/>
      <c r="V36" s="3"/>
      <c r="W36" s="3"/>
      <c r="X36" s="3">
        <v>171</v>
      </c>
      <c r="Y36" s="3"/>
      <c r="Z36" s="52"/>
      <c r="AA36" s="34">
        <f t="shared" si="8"/>
        <v>190</v>
      </c>
    </row>
    <row r="37" spans="1:27" x14ac:dyDescent="0.25">
      <c r="A37" s="20"/>
      <c r="B37" s="14" t="s">
        <v>35</v>
      </c>
      <c r="C37" s="35"/>
      <c r="D37" s="35"/>
      <c r="E37" s="35"/>
      <c r="F37" s="35"/>
      <c r="G37" s="35"/>
      <c r="H37" s="35"/>
      <c r="I37" s="35"/>
      <c r="J37" s="34"/>
      <c r="K37" s="35"/>
      <c r="L37" s="35"/>
      <c r="M37" s="34">
        <f>J37</f>
        <v>0</v>
      </c>
      <c r="N37" s="24"/>
      <c r="O37" s="20"/>
      <c r="P37" s="15" t="s">
        <v>30</v>
      </c>
      <c r="Q37" s="3">
        <v>45.291194268007452</v>
      </c>
      <c r="R37" s="3">
        <v>87.938142164080332</v>
      </c>
      <c r="S37" s="3">
        <v>1112.5653049676882</v>
      </c>
      <c r="T37" s="3">
        <v>55.707490937758919</v>
      </c>
      <c r="U37" s="3">
        <v>425.58806350341729</v>
      </c>
      <c r="V37" s="3">
        <v>4789.4814167478862</v>
      </c>
      <c r="W37" s="3">
        <v>1632.321761894598</v>
      </c>
      <c r="X37" s="3">
        <v>790</v>
      </c>
      <c r="Y37" s="3">
        <v>2743.4221945230101</v>
      </c>
      <c r="Z37" s="52"/>
      <c r="AA37" s="34">
        <f t="shared" si="8"/>
        <v>11682.315569006445</v>
      </c>
    </row>
    <row r="38" spans="1:27" x14ac:dyDescent="0.25">
      <c r="A38" s="20">
        <v>5</v>
      </c>
      <c r="B38" s="12" t="s">
        <v>36</v>
      </c>
      <c r="C38" s="38">
        <f t="shared" ref="C38:M38" si="11">C37+C36+C34+C28+C17</f>
        <v>823.79155431539721</v>
      </c>
      <c r="D38" s="38">
        <f t="shared" si="11"/>
        <v>13839.905020409979</v>
      </c>
      <c r="E38" s="38">
        <f t="shared" si="11"/>
        <v>15187.212435047004</v>
      </c>
      <c r="F38" s="38">
        <f t="shared" si="11"/>
        <v>7538.0582848004924</v>
      </c>
      <c r="G38" s="38">
        <f t="shared" si="11"/>
        <v>761.48768479003547</v>
      </c>
      <c r="H38" s="38">
        <f t="shared" si="11"/>
        <v>8764.3325284351504</v>
      </c>
      <c r="I38" s="38">
        <f t="shared" si="11"/>
        <v>3324.5757017438068</v>
      </c>
      <c r="J38" s="38">
        <f t="shared" si="11"/>
        <v>0</v>
      </c>
      <c r="K38" s="38">
        <f t="shared" si="11"/>
        <v>14344.890395085567</v>
      </c>
      <c r="L38" s="38">
        <f t="shared" si="11"/>
        <v>14362.068588566661</v>
      </c>
      <c r="M38" s="38">
        <f t="shared" si="11"/>
        <v>78946.322193194093</v>
      </c>
      <c r="P38" s="12" t="s">
        <v>45</v>
      </c>
      <c r="Q38" s="36">
        <f t="shared" ref="Q38:Z38" si="12">SUM(Q30:Q37)</f>
        <v>741.16334072824725</v>
      </c>
      <c r="R38" s="36">
        <f t="shared" si="12"/>
        <v>347.01774513392888</v>
      </c>
      <c r="S38" s="36">
        <f t="shared" si="12"/>
        <v>4989.8561003565164</v>
      </c>
      <c r="T38" s="36">
        <f t="shared" si="12"/>
        <v>607.6429376663458</v>
      </c>
      <c r="U38" s="36">
        <f t="shared" si="12"/>
        <v>761.48768479003547</v>
      </c>
      <c r="V38" s="36">
        <f t="shared" si="12"/>
        <v>8764.3325284351504</v>
      </c>
      <c r="W38" s="36">
        <f t="shared" si="12"/>
        <v>3324.5757017438068</v>
      </c>
      <c r="X38" s="36">
        <f t="shared" si="12"/>
        <v>1174.0034891337282</v>
      </c>
      <c r="Y38" s="38">
        <f t="shared" si="12"/>
        <v>2794.4656104898436</v>
      </c>
      <c r="Z38" s="38">
        <f t="shared" si="12"/>
        <v>0</v>
      </c>
      <c r="AA38" s="38">
        <f>SUM(Q38:Z38)</f>
        <v>23504.545138477602</v>
      </c>
    </row>
    <row r="39" spans="1:27" x14ac:dyDescent="0.25">
      <c r="B39" s="2" t="s">
        <v>69</v>
      </c>
      <c r="P39" s="19" t="s">
        <v>37</v>
      </c>
      <c r="Q39" s="3"/>
      <c r="R39" s="3"/>
      <c r="S39" s="3"/>
      <c r="T39" s="3"/>
      <c r="U39" s="3"/>
      <c r="V39" s="3"/>
      <c r="W39" s="34"/>
      <c r="X39" s="34"/>
      <c r="Y39" s="3"/>
      <c r="Z39" s="34"/>
      <c r="AA39" s="34">
        <f>SUM(Q39:Z39)</f>
        <v>0</v>
      </c>
    </row>
    <row r="40" spans="1:27" x14ac:dyDescent="0.25">
      <c r="B40" s="60" t="s">
        <v>112</v>
      </c>
      <c r="O40" s="11">
        <v>3</v>
      </c>
      <c r="P40" s="12" t="s">
        <v>31</v>
      </c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</row>
    <row r="41" spans="1:27" x14ac:dyDescent="0.25">
      <c r="O41" s="2"/>
      <c r="P41" s="31" t="s">
        <v>40</v>
      </c>
      <c r="Q41" s="35"/>
      <c r="R41" s="35"/>
      <c r="S41" s="35"/>
      <c r="T41" s="35"/>
      <c r="U41" s="35"/>
      <c r="V41" s="35"/>
      <c r="W41" s="35"/>
      <c r="X41" s="35"/>
      <c r="Y41" s="35"/>
      <c r="Z41" s="34">
        <f>M30</f>
        <v>897.10656590599456</v>
      </c>
      <c r="AA41" s="34">
        <f t="shared" ref="AA41:AA48" si="13">SUM(Q41:Z41)</f>
        <v>897.10656590599456</v>
      </c>
    </row>
    <row r="42" spans="1:27" x14ac:dyDescent="0.25">
      <c r="P42" s="58" t="s">
        <v>41</v>
      </c>
      <c r="Q42" s="35"/>
      <c r="R42" s="35"/>
      <c r="S42" s="35"/>
      <c r="T42" s="35"/>
      <c r="U42" s="35"/>
      <c r="V42" s="35"/>
      <c r="W42" s="35"/>
      <c r="X42" s="35"/>
      <c r="Y42" s="35"/>
      <c r="Z42" s="34">
        <f>M31</f>
        <v>127.77103988995037</v>
      </c>
      <c r="AA42" s="34">
        <f t="shared" si="13"/>
        <v>127.77103988995037</v>
      </c>
    </row>
    <row r="43" spans="1:27" x14ac:dyDescent="0.25">
      <c r="P43" s="58" t="s">
        <v>43</v>
      </c>
      <c r="Q43" s="35"/>
      <c r="R43" s="35"/>
      <c r="S43" s="35"/>
      <c r="T43" s="35"/>
      <c r="U43" s="35"/>
      <c r="V43" s="35"/>
      <c r="W43" s="35"/>
      <c r="X43" s="35"/>
      <c r="Y43" s="35"/>
      <c r="Z43" s="34">
        <f>M32</f>
        <v>247.96905228326463</v>
      </c>
      <c r="AA43" s="34">
        <f>SUM(Q43:Z43)</f>
        <v>247.96905228326463</v>
      </c>
    </row>
    <row r="44" spans="1:27" x14ac:dyDescent="0.25">
      <c r="P44" s="58" t="s">
        <v>46</v>
      </c>
      <c r="Q44" s="35"/>
      <c r="R44" s="35"/>
      <c r="S44" s="35"/>
      <c r="T44" s="35"/>
      <c r="U44" s="35"/>
      <c r="V44" s="35"/>
      <c r="W44" s="35"/>
      <c r="X44" s="35"/>
      <c r="Y44" s="35"/>
      <c r="Z44" s="34">
        <f>M33</f>
        <v>19536.076038854033</v>
      </c>
      <c r="AA44" s="34">
        <f>SUM(Q44:Z44)</f>
        <v>19536.076038854033</v>
      </c>
    </row>
    <row r="45" spans="1:27" x14ac:dyDescent="0.25">
      <c r="P45" s="32" t="s">
        <v>42</v>
      </c>
      <c r="Q45" s="35"/>
      <c r="R45" s="35"/>
      <c r="S45" s="35"/>
      <c r="T45" s="35"/>
      <c r="U45" s="35"/>
      <c r="V45" s="35"/>
      <c r="W45" s="35"/>
      <c r="X45" s="35"/>
      <c r="Y45" s="35"/>
      <c r="Z45" s="38">
        <f>M34</f>
        <v>20808.922696933245</v>
      </c>
      <c r="AA45" s="38">
        <f>SUM(Q45:Z45)</f>
        <v>20808.922696933245</v>
      </c>
    </row>
    <row r="46" spans="1:27" x14ac:dyDescent="0.25">
      <c r="O46" s="11">
        <v>4</v>
      </c>
      <c r="P46" s="12" t="s">
        <v>33</v>
      </c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1:27" x14ac:dyDescent="0.25">
      <c r="O47" s="2"/>
      <c r="P47" s="14" t="s">
        <v>34</v>
      </c>
      <c r="Q47" s="35"/>
      <c r="R47" s="35"/>
      <c r="S47" s="35"/>
      <c r="T47" s="35"/>
      <c r="U47" s="35"/>
      <c r="V47" s="35"/>
      <c r="W47" s="35"/>
      <c r="X47" s="34">
        <f>M36</f>
        <v>0</v>
      </c>
      <c r="Y47" s="35"/>
      <c r="Z47" s="35"/>
      <c r="AA47" s="38">
        <f t="shared" si="13"/>
        <v>0</v>
      </c>
    </row>
    <row r="48" spans="1:27" x14ac:dyDescent="0.25">
      <c r="P48" s="14" t="s">
        <v>35</v>
      </c>
      <c r="Q48" s="34"/>
      <c r="R48" s="34"/>
      <c r="S48" s="34"/>
      <c r="T48" s="34"/>
      <c r="U48" s="34"/>
      <c r="V48" s="34"/>
      <c r="W48" s="35"/>
      <c r="X48" s="35"/>
      <c r="Y48" s="35"/>
      <c r="Z48" s="35"/>
      <c r="AA48" s="38">
        <f t="shared" si="13"/>
        <v>0</v>
      </c>
    </row>
    <row r="49" spans="14:27" x14ac:dyDescent="0.25">
      <c r="O49" s="11">
        <v>5</v>
      </c>
      <c r="P49" s="29" t="s">
        <v>38</v>
      </c>
      <c r="Q49" s="38">
        <f>Q17+Q28+Q38</f>
        <v>823.79155431539721</v>
      </c>
      <c r="R49" s="38">
        <f>R17+R28+R38</f>
        <v>13799.508070189022</v>
      </c>
      <c r="S49" s="38">
        <f>S17+S28+S38+S39</f>
        <v>15266.152131842249</v>
      </c>
      <c r="T49" s="38">
        <f t="shared" ref="T49:Y49" si="14">T17+T28+T38</f>
        <v>11428.267091643605</v>
      </c>
      <c r="U49" s="38">
        <f t="shared" si="14"/>
        <v>761.48768479003547</v>
      </c>
      <c r="V49" s="38">
        <f t="shared" si="14"/>
        <v>8764.3325284351504</v>
      </c>
      <c r="W49" s="38">
        <f t="shared" si="14"/>
        <v>3324.5757017438068</v>
      </c>
      <c r="X49" s="38">
        <f t="shared" si="14"/>
        <v>1174.0034891337282</v>
      </c>
      <c r="Y49" s="38">
        <f t="shared" si="14"/>
        <v>2794.4656104898436</v>
      </c>
      <c r="Z49" s="38">
        <f>Z17+Z28+Z38+Z45</f>
        <v>20808.922696933245</v>
      </c>
      <c r="AA49" s="38">
        <f>AA17+AA28+AA38+AA45+AA47+AA48+AA39</f>
        <v>78945.506559516085</v>
      </c>
    </row>
    <row r="50" spans="14:27" x14ac:dyDescent="0.25">
      <c r="O50" s="2"/>
      <c r="P50" s="60" t="s">
        <v>112</v>
      </c>
    </row>
    <row r="51" spans="14:27" x14ac:dyDescent="0.25">
      <c r="N51" s="60"/>
    </row>
  </sheetData>
  <mergeCells count="17">
    <mergeCell ref="X5:X8"/>
    <mergeCell ref="Y5:Y8"/>
    <mergeCell ref="Z5:Z8"/>
    <mergeCell ref="AA5:AA8"/>
    <mergeCell ref="Q6:V6"/>
    <mergeCell ref="W6:W8"/>
    <mergeCell ref="Q5:V5"/>
    <mergeCell ref="B5:B8"/>
    <mergeCell ref="C5:I5"/>
    <mergeCell ref="C6:H6"/>
    <mergeCell ref="I6:I8"/>
    <mergeCell ref="P5:P8"/>
    <mergeCell ref="J5:J8"/>
    <mergeCell ref="K5:K8"/>
    <mergeCell ref="L5:L8"/>
    <mergeCell ref="M5:M8"/>
    <mergeCell ref="H7:H8"/>
  </mergeCells>
  <conditionalFormatting sqref="Y35">
    <cfRule type="expression" dxfId="2" priority="1">
      <formula>MOD(ROW(),3)=1</formula>
    </cfRule>
  </conditionalFormatting>
  <pageMargins left="0.70866141732283472" right="0.70866141732283472" top="0.74803149606299213" bottom="0.74803149606299213" header="0.31496062992125984" footer="0.31496062992125984"/>
  <pageSetup paperSize="9" scale="51" fitToWidth="2" orientation="landscape" r:id="rId1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E2CD7-6492-4152-A00F-F337DA42B3A4}">
  <sheetPr>
    <tabColor rgb="FF92D050"/>
  </sheetPr>
  <dimension ref="A1:AB51"/>
  <sheetViews>
    <sheetView view="pageBreakPreview" topLeftCell="A12" zoomScale="70" zoomScaleNormal="100" zoomScaleSheetLayoutView="70" workbookViewId="0">
      <selection activeCell="P50" sqref="P50"/>
    </sheetView>
  </sheetViews>
  <sheetFormatPr defaultRowHeight="15" x14ac:dyDescent="0.25"/>
  <cols>
    <col min="1" max="1" width="9.28515625" style="2" bestFit="1" customWidth="1"/>
    <col min="2" max="2" width="64.85546875" style="2" customWidth="1"/>
    <col min="3" max="13" width="13.7109375" style="2" customWidth="1"/>
    <col min="14" max="14" width="9.28515625" style="2" bestFit="1" customWidth="1"/>
    <col min="15" max="15" width="9.28515625" style="2" customWidth="1"/>
    <col min="16" max="16" width="56.5703125" style="2" customWidth="1"/>
    <col min="17" max="27" width="13.7109375" style="2" customWidth="1"/>
    <col min="28" max="28" width="25.5703125" style="2" customWidth="1"/>
    <col min="29" max="16384" width="9.140625" style="2"/>
  </cols>
  <sheetData>
    <row r="1" spans="1:28" x14ac:dyDescent="0.25">
      <c r="K1" s="27" t="s">
        <v>63</v>
      </c>
      <c r="O1" s="11"/>
      <c r="Y1" s="27" t="s">
        <v>64</v>
      </c>
    </row>
    <row r="2" spans="1:28" x14ac:dyDescent="0.25">
      <c r="B2" s="27" t="s">
        <v>58</v>
      </c>
      <c r="O2" s="11"/>
      <c r="P2" s="27" t="s">
        <v>59</v>
      </c>
    </row>
    <row r="5" spans="1:28" ht="45" customHeight="1" x14ac:dyDescent="0.25">
      <c r="A5" s="24"/>
      <c r="B5" s="173" t="s">
        <v>72</v>
      </c>
      <c r="C5" s="174" t="s">
        <v>50</v>
      </c>
      <c r="D5" s="174"/>
      <c r="E5" s="174"/>
      <c r="F5" s="174"/>
      <c r="G5" s="174"/>
      <c r="H5" s="174"/>
      <c r="I5" s="174"/>
      <c r="J5" s="176" t="s">
        <v>9</v>
      </c>
      <c r="K5" s="176" t="s">
        <v>48</v>
      </c>
      <c r="L5" s="176" t="s">
        <v>47</v>
      </c>
      <c r="M5" s="176" t="s">
        <v>10</v>
      </c>
      <c r="P5" s="177" t="s">
        <v>75</v>
      </c>
      <c r="Q5" s="178" t="s">
        <v>2</v>
      </c>
      <c r="R5" s="178"/>
      <c r="S5" s="178"/>
      <c r="T5" s="178"/>
      <c r="U5" s="178"/>
      <c r="V5" s="178"/>
      <c r="W5" s="6" t="s">
        <v>3</v>
      </c>
      <c r="X5" s="176" t="s">
        <v>4</v>
      </c>
      <c r="Y5" s="176" t="s">
        <v>15</v>
      </c>
      <c r="Z5" s="176" t="s">
        <v>51</v>
      </c>
      <c r="AA5" s="176" t="s">
        <v>10</v>
      </c>
    </row>
    <row r="6" spans="1:28" ht="15" customHeight="1" x14ac:dyDescent="0.25">
      <c r="A6" s="24"/>
      <c r="B6" s="173"/>
      <c r="C6" s="175" t="s">
        <v>0</v>
      </c>
      <c r="D6" s="175"/>
      <c r="E6" s="175"/>
      <c r="F6" s="175"/>
      <c r="G6" s="175"/>
      <c r="H6" s="175"/>
      <c r="I6" s="176" t="s">
        <v>1</v>
      </c>
      <c r="J6" s="176"/>
      <c r="K6" s="176"/>
      <c r="L6" s="176"/>
      <c r="M6" s="176"/>
      <c r="P6" s="177"/>
      <c r="Q6" s="174" t="s">
        <v>0</v>
      </c>
      <c r="R6" s="174"/>
      <c r="S6" s="174"/>
      <c r="T6" s="174"/>
      <c r="U6" s="174"/>
      <c r="V6" s="174"/>
      <c r="W6" s="176" t="s">
        <v>1</v>
      </c>
      <c r="X6" s="176"/>
      <c r="Y6" s="176"/>
      <c r="Z6" s="176"/>
      <c r="AA6" s="176"/>
    </row>
    <row r="7" spans="1:28" ht="78.75" x14ac:dyDescent="0.25">
      <c r="A7" s="24"/>
      <c r="B7" s="173"/>
      <c r="C7" s="7" t="s">
        <v>5</v>
      </c>
      <c r="D7" s="10" t="s">
        <v>71</v>
      </c>
      <c r="E7" s="7" t="s">
        <v>6</v>
      </c>
      <c r="F7" s="7" t="s">
        <v>70</v>
      </c>
      <c r="G7" s="7" t="s">
        <v>7</v>
      </c>
      <c r="H7" s="176" t="s">
        <v>8</v>
      </c>
      <c r="I7" s="176"/>
      <c r="J7" s="176"/>
      <c r="K7" s="176"/>
      <c r="L7" s="176"/>
      <c r="M7" s="176"/>
      <c r="P7" s="177"/>
      <c r="Q7" s="10" t="s">
        <v>5</v>
      </c>
      <c r="R7" s="10" t="s">
        <v>71</v>
      </c>
      <c r="S7" s="10" t="s">
        <v>6</v>
      </c>
      <c r="T7" s="10" t="s">
        <v>78</v>
      </c>
      <c r="U7" s="10" t="s">
        <v>7</v>
      </c>
      <c r="V7" s="10" t="s">
        <v>8</v>
      </c>
      <c r="W7" s="176"/>
      <c r="X7" s="176"/>
      <c r="Y7" s="176"/>
      <c r="Z7" s="176"/>
      <c r="AA7" s="176"/>
    </row>
    <row r="8" spans="1:28" ht="38.25" customHeight="1" x14ac:dyDescent="0.25">
      <c r="A8" s="24"/>
      <c r="B8" s="173"/>
      <c r="C8" s="8" t="s">
        <v>11</v>
      </c>
      <c r="D8" s="13" t="s">
        <v>49</v>
      </c>
      <c r="E8" s="8" t="s">
        <v>12</v>
      </c>
      <c r="F8" s="8" t="s">
        <v>13</v>
      </c>
      <c r="G8" s="8" t="s">
        <v>14</v>
      </c>
      <c r="H8" s="176"/>
      <c r="I8" s="176"/>
      <c r="J8" s="176"/>
      <c r="K8" s="176"/>
      <c r="L8" s="176"/>
      <c r="M8" s="176"/>
      <c r="P8" s="177"/>
      <c r="Q8" s="13" t="s">
        <v>11</v>
      </c>
      <c r="R8" s="13" t="s">
        <v>16</v>
      </c>
      <c r="S8" s="13" t="s">
        <v>12</v>
      </c>
      <c r="T8" s="13" t="s">
        <v>13</v>
      </c>
      <c r="U8" s="13" t="s">
        <v>14</v>
      </c>
      <c r="V8" s="9"/>
      <c r="W8" s="176"/>
      <c r="X8" s="176"/>
      <c r="Y8" s="176"/>
      <c r="Z8" s="176"/>
      <c r="AA8" s="176"/>
    </row>
    <row r="9" spans="1:28" ht="25.5" customHeight="1" x14ac:dyDescent="0.25">
      <c r="A9" s="20">
        <v>1</v>
      </c>
      <c r="B9" s="12" t="s">
        <v>17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O9" s="11">
        <v>1</v>
      </c>
      <c r="P9" s="12" t="s">
        <v>17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8" x14ac:dyDescent="0.25">
      <c r="A10" s="20"/>
      <c r="B10" s="14" t="s">
        <v>18</v>
      </c>
      <c r="C10" s="35"/>
      <c r="D10" s="35"/>
      <c r="E10" s="35"/>
      <c r="F10" s="35"/>
      <c r="G10" s="35"/>
      <c r="H10" s="35"/>
      <c r="I10" s="35"/>
      <c r="J10" s="35"/>
      <c r="K10" s="35"/>
      <c r="L10" s="34"/>
      <c r="M10" s="34"/>
      <c r="P10" s="14" t="s">
        <v>18</v>
      </c>
      <c r="Q10" s="34"/>
      <c r="R10" s="34"/>
      <c r="S10" s="34"/>
      <c r="T10" s="34"/>
      <c r="U10" s="34"/>
      <c r="V10" s="34"/>
      <c r="W10" s="35"/>
      <c r="X10" s="35"/>
      <c r="Y10" s="35"/>
      <c r="Z10" s="35"/>
      <c r="AA10" s="34"/>
      <c r="AB10" s="18"/>
    </row>
    <row r="11" spans="1:28" x14ac:dyDescent="0.25">
      <c r="A11" s="20"/>
      <c r="B11" s="15" t="s">
        <v>19</v>
      </c>
      <c r="C11" s="35"/>
      <c r="D11" s="35"/>
      <c r="E11" s="35"/>
      <c r="F11" s="35"/>
      <c r="G11" s="35"/>
      <c r="H11" s="35"/>
      <c r="I11" s="35"/>
      <c r="J11" s="35"/>
      <c r="K11" s="35"/>
      <c r="L11" s="3">
        <v>1494.1248671695637</v>
      </c>
      <c r="M11" s="3">
        <f t="shared" ref="M11:M16" si="0">SUM(L11)</f>
        <v>1494.1248671695637</v>
      </c>
      <c r="O11" s="11"/>
      <c r="P11" s="14" t="s">
        <v>19</v>
      </c>
      <c r="Q11" s="34"/>
      <c r="R11" s="40">
        <f>L11</f>
        <v>1494.1248671695637</v>
      </c>
      <c r="S11" s="34"/>
      <c r="T11" s="34"/>
      <c r="U11" s="34"/>
      <c r="V11" s="34"/>
      <c r="W11" s="35"/>
      <c r="X11" s="35"/>
      <c r="Y11" s="35"/>
      <c r="Z11" s="35"/>
      <c r="AA11" s="34">
        <f>SUM(Q11:V11)</f>
        <v>1494.1248671695637</v>
      </c>
    </row>
    <row r="12" spans="1:28" x14ac:dyDescent="0.25">
      <c r="A12" s="20"/>
      <c r="B12" s="15" t="s">
        <v>20</v>
      </c>
      <c r="C12" s="35"/>
      <c r="D12" s="35"/>
      <c r="E12" s="35"/>
      <c r="F12" s="35"/>
      <c r="G12" s="35"/>
      <c r="H12" s="35"/>
      <c r="I12" s="35"/>
      <c r="J12" s="35"/>
      <c r="K12" s="35"/>
      <c r="L12" s="3">
        <v>1257.6500000000001</v>
      </c>
      <c r="M12" s="3">
        <f t="shared" si="0"/>
        <v>1257.6500000000001</v>
      </c>
      <c r="O12" s="11"/>
      <c r="P12" s="14" t="s">
        <v>20</v>
      </c>
      <c r="Q12" s="3"/>
      <c r="R12" s="41">
        <f>L12</f>
        <v>1257.6500000000001</v>
      </c>
      <c r="S12" s="3"/>
      <c r="T12" s="3"/>
      <c r="U12" s="3"/>
      <c r="V12" s="34"/>
      <c r="W12" s="35"/>
      <c r="X12" s="35"/>
      <c r="Y12" s="35"/>
      <c r="Z12" s="35"/>
      <c r="AA12" s="34">
        <f t="shared" ref="AA12:AA16" si="1">SUM(Q12:V12)</f>
        <v>1257.6500000000001</v>
      </c>
      <c r="AB12" s="24"/>
    </row>
    <row r="13" spans="1:28" x14ac:dyDescent="0.25">
      <c r="A13" s="20"/>
      <c r="B13" s="15" t="s">
        <v>21</v>
      </c>
      <c r="C13" s="35"/>
      <c r="D13" s="35"/>
      <c r="E13" s="35"/>
      <c r="F13" s="35"/>
      <c r="G13" s="35"/>
      <c r="H13" s="35"/>
      <c r="I13" s="35"/>
      <c r="J13" s="35"/>
      <c r="K13" s="35"/>
      <c r="L13" s="3">
        <v>10447.621880170022</v>
      </c>
      <c r="M13" s="3">
        <f t="shared" si="0"/>
        <v>10447.621880170022</v>
      </c>
      <c r="O13" s="11"/>
      <c r="P13" s="15" t="s">
        <v>21</v>
      </c>
      <c r="Q13" s="3"/>
      <c r="R13" s="3">
        <f>L13</f>
        <v>10447.621880170022</v>
      </c>
      <c r="S13" s="3"/>
      <c r="T13" s="3"/>
      <c r="U13" s="3"/>
      <c r="V13" s="34"/>
      <c r="W13" s="35"/>
      <c r="X13" s="35"/>
      <c r="Y13" s="35"/>
      <c r="Z13" s="35"/>
      <c r="AA13" s="34">
        <f t="shared" si="1"/>
        <v>10447.621880170022</v>
      </c>
    </row>
    <row r="14" spans="1:28" ht="15.75" x14ac:dyDescent="0.25">
      <c r="A14" s="20"/>
      <c r="B14" s="15" t="s">
        <v>22</v>
      </c>
      <c r="C14" s="35"/>
      <c r="D14" s="35"/>
      <c r="E14" s="35"/>
      <c r="F14" s="35"/>
      <c r="G14" s="35"/>
      <c r="H14" s="35"/>
      <c r="I14" s="117"/>
      <c r="J14" s="35"/>
      <c r="K14" s="35"/>
      <c r="L14" s="3">
        <v>530.39872166074849</v>
      </c>
      <c r="M14" s="3">
        <f t="shared" si="0"/>
        <v>530.39872166074849</v>
      </c>
      <c r="O14" s="11"/>
      <c r="P14" s="15" t="s">
        <v>22</v>
      </c>
      <c r="Q14" s="3"/>
      <c r="R14" s="42">
        <f>L14</f>
        <v>530.39872166074849</v>
      </c>
      <c r="S14" s="3"/>
      <c r="T14" s="3"/>
      <c r="U14" s="3"/>
      <c r="V14" s="34"/>
      <c r="W14" s="35"/>
      <c r="X14" s="35"/>
      <c r="Y14" s="35"/>
      <c r="Z14" s="35"/>
      <c r="AA14" s="34">
        <f t="shared" si="1"/>
        <v>530.39872166074849</v>
      </c>
    </row>
    <row r="15" spans="1:28" x14ac:dyDescent="0.25">
      <c r="A15" s="20"/>
      <c r="B15" s="14" t="s">
        <v>39</v>
      </c>
      <c r="C15" s="35"/>
      <c r="D15" s="35"/>
      <c r="E15" s="35"/>
      <c r="F15" s="35"/>
      <c r="G15" s="35"/>
      <c r="H15" s="35"/>
      <c r="I15" s="35"/>
      <c r="J15" s="35"/>
      <c r="K15" s="35"/>
      <c r="L15" s="36">
        <v>967.48995924551343</v>
      </c>
      <c r="M15" s="3">
        <f t="shared" si="0"/>
        <v>967.48995924551343</v>
      </c>
      <c r="O15" s="11"/>
      <c r="P15" s="14" t="s">
        <v>23</v>
      </c>
      <c r="Q15" s="3">
        <v>56.163291015554606</v>
      </c>
      <c r="R15" s="4"/>
      <c r="S15" s="3"/>
      <c r="T15" s="3">
        <f>M15-Q15</f>
        <v>911.32666822995884</v>
      </c>
      <c r="U15" s="3"/>
      <c r="V15" s="34"/>
      <c r="W15" s="35"/>
      <c r="X15" s="35"/>
      <c r="Y15" s="35"/>
      <c r="Z15" s="35"/>
      <c r="AA15" s="34">
        <f t="shared" si="1"/>
        <v>967.48995924551343</v>
      </c>
    </row>
    <row r="16" spans="1:28" x14ac:dyDescent="0.25">
      <c r="A16" s="20"/>
      <c r="B16" s="14" t="s">
        <v>73</v>
      </c>
      <c r="C16" s="35"/>
      <c r="D16" s="35"/>
      <c r="E16" s="35"/>
      <c r="F16" s="35"/>
      <c r="G16" s="35"/>
      <c r="H16" s="35"/>
      <c r="I16" s="35"/>
      <c r="J16" s="35"/>
      <c r="K16" s="35"/>
      <c r="L16" s="5">
        <v>23.73651615603308</v>
      </c>
      <c r="M16" s="3">
        <f t="shared" si="0"/>
        <v>23.73651615603308</v>
      </c>
      <c r="O16" s="11"/>
      <c r="P16" s="14" t="s">
        <v>74</v>
      </c>
      <c r="Q16" s="5">
        <f>L16</f>
        <v>23.73651615603308</v>
      </c>
      <c r="R16" s="5"/>
      <c r="S16" s="3"/>
      <c r="T16" s="3"/>
      <c r="U16" s="3"/>
      <c r="V16" s="34"/>
      <c r="W16" s="35"/>
      <c r="X16" s="35"/>
      <c r="Y16" s="35"/>
      <c r="Z16" s="35"/>
      <c r="AA16" s="34">
        <f t="shared" si="1"/>
        <v>23.73651615603308</v>
      </c>
    </row>
    <row r="17" spans="1:27" x14ac:dyDescent="0.25">
      <c r="A17" s="20"/>
      <c r="B17" s="16" t="s">
        <v>10</v>
      </c>
      <c r="C17" s="35"/>
      <c r="D17" s="35"/>
      <c r="E17" s="35"/>
      <c r="F17" s="35"/>
      <c r="G17" s="35"/>
      <c r="H17" s="35"/>
      <c r="I17" s="35"/>
      <c r="J17" s="35"/>
      <c r="K17" s="35"/>
      <c r="L17" s="37">
        <f>SUM(L11:L16)</f>
        <v>14721.021944401882</v>
      </c>
      <c r="M17" s="36">
        <f>SUM(L17)</f>
        <v>14721.021944401882</v>
      </c>
      <c r="O17" s="11"/>
      <c r="P17" s="16" t="s">
        <v>44</v>
      </c>
      <c r="Q17" s="37">
        <f t="shared" ref="Q17:V17" si="2">SUM(Q11:Q16)</f>
        <v>79.899807171587682</v>
      </c>
      <c r="R17" s="37">
        <f t="shared" si="2"/>
        <v>13729.795469000335</v>
      </c>
      <c r="S17" s="37">
        <f t="shared" si="2"/>
        <v>0</v>
      </c>
      <c r="T17" s="37">
        <f t="shared" si="2"/>
        <v>911.32666822995884</v>
      </c>
      <c r="U17" s="37">
        <f t="shared" si="2"/>
        <v>0</v>
      </c>
      <c r="V17" s="37">
        <f t="shared" si="2"/>
        <v>0</v>
      </c>
      <c r="W17" s="39"/>
      <c r="X17" s="39"/>
      <c r="Y17" s="39"/>
      <c r="Z17" s="39"/>
      <c r="AA17" s="38">
        <f>SUM(Q17:V17)</f>
        <v>14721.02194440188</v>
      </c>
    </row>
    <row r="18" spans="1:27" x14ac:dyDescent="0.25">
      <c r="A18" s="20">
        <v>2</v>
      </c>
      <c r="B18" s="12" t="s">
        <v>24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O18" s="11">
        <v>2</v>
      </c>
      <c r="P18" s="12" t="s">
        <v>24</v>
      </c>
      <c r="Q18" s="3"/>
      <c r="R18" s="3"/>
      <c r="S18" s="3"/>
      <c r="T18" s="3"/>
      <c r="U18" s="3"/>
      <c r="V18" s="34"/>
      <c r="W18" s="34"/>
      <c r="X18" s="34"/>
      <c r="Y18" s="34"/>
      <c r="Z18" s="34"/>
      <c r="AA18" s="34"/>
    </row>
    <row r="19" spans="1:27" x14ac:dyDescent="0.25">
      <c r="A19" s="20"/>
      <c r="B19" s="17" t="s">
        <v>25</v>
      </c>
      <c r="C19" s="3"/>
      <c r="D19" s="3"/>
      <c r="E19" s="3"/>
      <c r="F19" s="3"/>
      <c r="G19" s="3"/>
      <c r="H19" s="34"/>
      <c r="I19" s="35"/>
      <c r="J19" s="35"/>
      <c r="K19" s="3"/>
      <c r="L19" s="35"/>
      <c r="M19" s="34"/>
      <c r="P19" s="19" t="s">
        <v>77</v>
      </c>
      <c r="Q19" s="3"/>
      <c r="R19" s="3"/>
      <c r="S19" s="3"/>
      <c r="T19" s="3"/>
      <c r="U19" s="3"/>
      <c r="V19" s="3"/>
      <c r="W19" s="35"/>
      <c r="X19" s="35"/>
      <c r="Y19" s="35"/>
      <c r="Z19" s="35"/>
      <c r="AA19" s="34"/>
    </row>
    <row r="20" spans="1:27" x14ac:dyDescent="0.25">
      <c r="A20" s="20"/>
      <c r="B20" s="15" t="s">
        <v>21</v>
      </c>
      <c r="C20" s="3"/>
      <c r="D20" s="3">
        <v>10218.858214166015</v>
      </c>
      <c r="E20" s="3"/>
      <c r="F20" s="3"/>
      <c r="G20" s="3"/>
      <c r="H20" s="34"/>
      <c r="I20" s="35"/>
      <c r="J20" s="35"/>
      <c r="K20" s="3">
        <v>3150.8247027566749</v>
      </c>
      <c r="L20" s="35"/>
      <c r="M20" s="34">
        <f t="shared" ref="M20:M27" si="3">SUM(C20:L20)</f>
        <v>13369.682916922691</v>
      </c>
      <c r="N20" s="18"/>
      <c r="O20" s="33"/>
      <c r="P20" s="15" t="s">
        <v>21</v>
      </c>
      <c r="Q20" s="3"/>
      <c r="R20" s="3"/>
      <c r="S20" s="3"/>
      <c r="T20" s="3">
        <v>8858.4821707071842</v>
      </c>
      <c r="U20" s="3"/>
      <c r="V20" s="3"/>
      <c r="W20" s="35"/>
      <c r="X20" s="35"/>
      <c r="Y20" s="35"/>
      <c r="Z20" s="35"/>
      <c r="AA20" s="34">
        <f>SUM(Q20:Z20)</f>
        <v>8858.4821707071842</v>
      </c>
    </row>
    <row r="21" spans="1:27" x14ac:dyDescent="0.25">
      <c r="A21" s="20"/>
      <c r="B21" s="15" t="s">
        <v>26</v>
      </c>
      <c r="C21" s="3"/>
      <c r="D21" s="5">
        <f>L12</f>
        <v>1257.6500000000001</v>
      </c>
      <c r="E21" s="3"/>
      <c r="F21" s="3"/>
      <c r="G21" s="3"/>
      <c r="H21" s="34"/>
      <c r="I21" s="35"/>
      <c r="J21" s="35"/>
      <c r="K21" s="3">
        <v>1056.98</v>
      </c>
      <c r="L21" s="35"/>
      <c r="M21" s="34">
        <f t="shared" si="3"/>
        <v>2314.63</v>
      </c>
      <c r="N21" s="18"/>
      <c r="O21" s="33"/>
      <c r="P21" s="15" t="s">
        <v>26</v>
      </c>
      <c r="Q21" s="3"/>
      <c r="R21" s="41"/>
      <c r="S21" s="3"/>
      <c r="T21" s="3">
        <v>519</v>
      </c>
      <c r="U21" s="3"/>
      <c r="V21" s="3"/>
      <c r="W21" s="35"/>
      <c r="X21" s="35"/>
      <c r="Y21" s="35"/>
      <c r="Z21" s="35"/>
      <c r="AA21" s="34">
        <f t="shared" ref="AA21:AA27" si="4">SUM(Q21:Z21)</f>
        <v>519</v>
      </c>
    </row>
    <row r="22" spans="1:27" x14ac:dyDescent="0.25">
      <c r="A22" s="20"/>
      <c r="B22" s="15" t="s">
        <v>27</v>
      </c>
      <c r="C22" s="3">
        <f>L16+Q15</f>
        <v>79.899807171587682</v>
      </c>
      <c r="D22" s="3"/>
      <c r="E22" s="3"/>
      <c r="F22" s="3"/>
      <c r="G22" s="3"/>
      <c r="H22" s="34"/>
      <c r="I22" s="35"/>
      <c r="J22" s="35"/>
      <c r="K22" s="3"/>
      <c r="L22" s="35"/>
      <c r="M22" s="34">
        <f t="shared" si="3"/>
        <v>79.899807171587682</v>
      </c>
      <c r="N22" s="18"/>
      <c r="O22" s="33"/>
      <c r="P22" s="15" t="s">
        <v>27</v>
      </c>
      <c r="Q22" s="3"/>
      <c r="R22" s="3"/>
      <c r="S22" s="3"/>
      <c r="T22" s="3">
        <f>Q15</f>
        <v>56.163291015554606</v>
      </c>
      <c r="U22" s="3"/>
      <c r="V22" s="3"/>
      <c r="W22" s="35"/>
      <c r="X22" s="35"/>
      <c r="Y22" s="35"/>
      <c r="Z22" s="35"/>
      <c r="AA22" s="34">
        <f t="shared" si="4"/>
        <v>56.163291015554606</v>
      </c>
    </row>
    <row r="23" spans="1:27" x14ac:dyDescent="0.25">
      <c r="A23" s="20"/>
      <c r="B23" s="15" t="s">
        <v>28</v>
      </c>
      <c r="C23" s="3"/>
      <c r="D23" s="3"/>
      <c r="E23" s="3"/>
      <c r="F23" s="3">
        <f>5339.61952175139</f>
        <v>5339.6195217513896</v>
      </c>
      <c r="G23" s="3"/>
      <c r="H23" s="34"/>
      <c r="I23" s="35"/>
      <c r="J23" s="35"/>
      <c r="K23" s="36">
        <v>18.259434386451186</v>
      </c>
      <c r="L23" s="35"/>
      <c r="M23" s="34">
        <f t="shared" si="3"/>
        <v>5357.8789561378408</v>
      </c>
      <c r="N23" s="18"/>
      <c r="O23" s="33"/>
      <c r="P23" s="15" t="s">
        <v>28</v>
      </c>
      <c r="Q23" s="3"/>
      <c r="R23" s="3"/>
      <c r="S23" s="3"/>
      <c r="T23" s="3"/>
      <c r="U23" s="3"/>
      <c r="V23" s="3"/>
      <c r="W23" s="35"/>
      <c r="X23" s="35"/>
      <c r="Y23" s="35"/>
      <c r="Z23" s="35"/>
      <c r="AA23" s="34">
        <f t="shared" si="4"/>
        <v>0</v>
      </c>
    </row>
    <row r="24" spans="1:27" ht="19.5" customHeight="1" x14ac:dyDescent="0.25">
      <c r="A24" s="20"/>
      <c r="B24" s="15" t="s">
        <v>29</v>
      </c>
      <c r="C24" s="3"/>
      <c r="D24" s="3"/>
      <c r="E24" s="3"/>
      <c r="F24" s="3">
        <f>L15</f>
        <v>967.48995924551343</v>
      </c>
      <c r="G24" s="3"/>
      <c r="H24" s="34"/>
      <c r="I24" s="35"/>
      <c r="J24" s="35"/>
      <c r="K24" s="34"/>
      <c r="L24" s="35"/>
      <c r="M24" s="34">
        <f t="shared" si="3"/>
        <v>967.48995924551343</v>
      </c>
      <c r="N24" s="18"/>
      <c r="O24" s="33"/>
      <c r="P24" s="15" t="s">
        <v>29</v>
      </c>
      <c r="Q24" s="3"/>
      <c r="R24" s="3"/>
      <c r="S24" s="3"/>
      <c r="T24" s="3">
        <f>M15</f>
        <v>967.48995924551343</v>
      </c>
      <c r="U24" s="3"/>
      <c r="V24" s="3"/>
      <c r="W24" s="35"/>
      <c r="X24" s="35"/>
      <c r="Y24" s="35"/>
      <c r="Z24" s="35"/>
      <c r="AA24" s="34">
        <f t="shared" si="4"/>
        <v>967.48995924551343</v>
      </c>
    </row>
    <row r="25" spans="1:27" ht="27" customHeight="1" x14ac:dyDescent="0.25">
      <c r="A25" s="20"/>
      <c r="B25" s="15" t="s">
        <v>22</v>
      </c>
      <c r="C25" s="3"/>
      <c r="D25" s="3">
        <f>L14</f>
        <v>530.39872166074849</v>
      </c>
      <c r="E25" s="3"/>
      <c r="F25" s="3"/>
      <c r="G25" s="3"/>
      <c r="H25" s="34"/>
      <c r="I25" s="35"/>
      <c r="J25" s="35"/>
      <c r="K25" s="3">
        <v>0.11371210051898389</v>
      </c>
      <c r="L25" s="35"/>
      <c r="M25" s="34">
        <f t="shared" si="3"/>
        <v>530.51243376126752</v>
      </c>
      <c r="N25" s="18"/>
      <c r="O25" s="33"/>
      <c r="P25" s="15" t="s">
        <v>22</v>
      </c>
      <c r="Q25" s="3"/>
      <c r="R25" s="3"/>
      <c r="S25" s="3"/>
      <c r="T25" s="3">
        <v>441.6464272056815</v>
      </c>
      <c r="U25" s="3"/>
      <c r="V25" s="3"/>
      <c r="W25" s="35"/>
      <c r="X25" s="35"/>
      <c r="Y25" s="35"/>
      <c r="Z25" s="35"/>
      <c r="AA25" s="34">
        <f t="shared" si="4"/>
        <v>441.6464272056815</v>
      </c>
    </row>
    <row r="26" spans="1:27" ht="30.75" customHeight="1" x14ac:dyDescent="0.25">
      <c r="A26" s="20"/>
      <c r="B26" s="15" t="s">
        <v>19</v>
      </c>
      <c r="C26" s="3"/>
      <c r="D26" s="3">
        <f>L11</f>
        <v>1494.1248671695637</v>
      </c>
      <c r="E26" s="3"/>
      <c r="F26" s="3"/>
      <c r="G26" s="3"/>
      <c r="H26" s="34"/>
      <c r="I26" s="35"/>
      <c r="J26" s="35"/>
      <c r="K26" s="3">
        <v>9230.7767968856988</v>
      </c>
      <c r="L26" s="35"/>
      <c r="M26" s="34">
        <f t="shared" si="3"/>
        <v>10724.901664055262</v>
      </c>
      <c r="N26" s="18"/>
      <c r="O26" s="33"/>
      <c r="P26" s="15" t="s">
        <v>19</v>
      </c>
      <c r="Q26" s="3"/>
      <c r="R26" s="41"/>
      <c r="S26" s="3">
        <v>10548.48806165956</v>
      </c>
      <c r="T26" s="3"/>
      <c r="U26" s="3"/>
      <c r="V26" s="3"/>
      <c r="W26" s="35"/>
      <c r="X26" s="35"/>
      <c r="Y26" s="35"/>
      <c r="Z26" s="35"/>
      <c r="AA26" s="34">
        <f t="shared" si="4"/>
        <v>10548.48806165956</v>
      </c>
    </row>
    <row r="27" spans="1:27" x14ac:dyDescent="0.25">
      <c r="A27" s="20"/>
      <c r="B27" s="15" t="s">
        <v>30</v>
      </c>
      <c r="C27" s="3"/>
      <c r="D27" s="3"/>
      <c r="E27" s="3">
        <v>10653.17</v>
      </c>
      <c r="F27" s="3"/>
      <c r="G27" s="3"/>
      <c r="H27" s="34"/>
      <c r="I27" s="35"/>
      <c r="J27" s="35"/>
      <c r="K27" s="3">
        <v>1484.9471750612934</v>
      </c>
      <c r="L27" s="35"/>
      <c r="M27" s="34">
        <f t="shared" si="3"/>
        <v>12138.117175061294</v>
      </c>
      <c r="N27" s="18"/>
      <c r="O27" s="33"/>
      <c r="P27" s="15" t="s">
        <v>30</v>
      </c>
      <c r="Q27" s="3"/>
      <c r="R27" s="3"/>
      <c r="S27" s="3"/>
      <c r="T27" s="3">
        <v>30.437910627877478</v>
      </c>
      <c r="U27" s="3"/>
      <c r="V27" s="3"/>
      <c r="W27" s="35"/>
      <c r="X27" s="35"/>
      <c r="Y27" s="35"/>
      <c r="Z27" s="35"/>
      <c r="AA27" s="34">
        <f t="shared" si="4"/>
        <v>30.437910627877478</v>
      </c>
    </row>
    <row r="28" spans="1:27" x14ac:dyDescent="0.25">
      <c r="A28" s="20"/>
      <c r="B28" s="30" t="s">
        <v>44</v>
      </c>
      <c r="C28" s="38">
        <f t="shared" ref="C28:M28" si="5">SUM(C19:C27)</f>
        <v>79.899807171587682</v>
      </c>
      <c r="D28" s="38">
        <f t="shared" si="5"/>
        <v>13501.031802996327</v>
      </c>
      <c r="E28" s="38">
        <f t="shared" si="5"/>
        <v>10653.17</v>
      </c>
      <c r="F28" s="38">
        <f t="shared" si="5"/>
        <v>6307.1094809969027</v>
      </c>
      <c r="G28" s="38">
        <f t="shared" si="5"/>
        <v>0</v>
      </c>
      <c r="H28" s="38">
        <f t="shared" si="5"/>
        <v>0</v>
      </c>
      <c r="I28" s="38">
        <f t="shared" si="5"/>
        <v>0</v>
      </c>
      <c r="J28" s="38">
        <f t="shared" si="5"/>
        <v>0</v>
      </c>
      <c r="K28" s="38">
        <f t="shared" si="5"/>
        <v>14941.901821190637</v>
      </c>
      <c r="L28" s="38">
        <f t="shared" si="5"/>
        <v>0</v>
      </c>
      <c r="M28" s="38">
        <f t="shared" si="5"/>
        <v>45483.112912355457</v>
      </c>
      <c r="O28" s="33"/>
      <c r="P28" s="21" t="s">
        <v>52</v>
      </c>
      <c r="Q28" s="43">
        <f t="shared" ref="Q28:V28" si="6">SUM(Q20:Q27)</f>
        <v>0</v>
      </c>
      <c r="R28" s="43">
        <f t="shared" si="6"/>
        <v>0</v>
      </c>
      <c r="S28" s="43">
        <f t="shared" si="6"/>
        <v>10548.48806165956</v>
      </c>
      <c r="T28" s="43">
        <f t="shared" si="6"/>
        <v>10873.219758801812</v>
      </c>
      <c r="U28" s="43">
        <f t="shared" si="6"/>
        <v>0</v>
      </c>
      <c r="V28" s="43">
        <f t="shared" si="6"/>
        <v>0</v>
      </c>
      <c r="W28" s="44"/>
      <c r="X28" s="44"/>
      <c r="Y28" s="44"/>
      <c r="Z28" s="44"/>
      <c r="AA28" s="38">
        <f>SUM(Q28:Z28)</f>
        <v>21421.707820461372</v>
      </c>
    </row>
    <row r="29" spans="1:27" x14ac:dyDescent="0.25">
      <c r="A29" s="20">
        <v>3</v>
      </c>
      <c r="B29" s="12" t="s">
        <v>31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O29" s="11"/>
      <c r="P29" s="23" t="s">
        <v>32</v>
      </c>
      <c r="Q29" s="45"/>
      <c r="R29" s="46"/>
      <c r="S29" s="46"/>
      <c r="T29" s="46"/>
      <c r="U29" s="46"/>
      <c r="V29" s="46"/>
      <c r="W29" s="47"/>
      <c r="X29" s="47"/>
      <c r="Y29" s="46"/>
      <c r="Z29" s="48"/>
      <c r="AA29" s="48"/>
    </row>
    <row r="30" spans="1:27" x14ac:dyDescent="0.25">
      <c r="A30" s="20"/>
      <c r="B30" s="31" t="s">
        <v>40</v>
      </c>
      <c r="C30" s="3"/>
      <c r="D30" s="3">
        <v>0</v>
      </c>
      <c r="E30" s="3"/>
      <c r="F30" s="3">
        <v>974.52073860166308</v>
      </c>
      <c r="G30" s="34"/>
      <c r="H30" s="3"/>
      <c r="I30" s="34"/>
      <c r="J30" s="34"/>
      <c r="K30" s="34"/>
      <c r="L30" s="34"/>
      <c r="M30" s="34">
        <f>SUM(C30:I30)</f>
        <v>974.52073860166308</v>
      </c>
      <c r="O30" s="11"/>
      <c r="P30" s="15" t="s">
        <v>21</v>
      </c>
      <c r="Q30" s="49"/>
      <c r="R30" s="49"/>
      <c r="S30" s="49">
        <v>1190.7375502737132</v>
      </c>
      <c r="T30" s="49"/>
      <c r="U30" s="49"/>
      <c r="V30" s="49">
        <v>3544.9785010054743</v>
      </c>
      <c r="W30" s="49"/>
      <c r="X30" s="49">
        <f>-224.727126228913+(-22)</f>
        <v>-246.72712622891299</v>
      </c>
      <c r="Y30" s="49">
        <v>22.69</v>
      </c>
      <c r="Z30" s="51"/>
      <c r="AA30" s="34">
        <f>SUM(Q30:Z30)</f>
        <v>4511.6789250502734</v>
      </c>
    </row>
    <row r="31" spans="1:27" x14ac:dyDescent="0.25">
      <c r="A31" s="20"/>
      <c r="B31" s="31" t="s">
        <v>41</v>
      </c>
      <c r="C31" s="3"/>
      <c r="D31" s="3">
        <v>35.053199999999997</v>
      </c>
      <c r="E31" s="3"/>
      <c r="F31" s="3">
        <v>89.388030591052257</v>
      </c>
      <c r="G31" s="34"/>
      <c r="H31" s="3"/>
      <c r="I31" s="34"/>
      <c r="J31" s="35"/>
      <c r="K31" s="35"/>
      <c r="L31" s="35"/>
      <c r="M31" s="34">
        <f>SUM(C31:I31)</f>
        <v>124.44123059105226</v>
      </c>
      <c r="O31" s="11"/>
      <c r="P31" s="15" t="s">
        <v>26</v>
      </c>
      <c r="Q31" s="3">
        <v>8.1528429739551775</v>
      </c>
      <c r="R31" s="3">
        <v>316.23540657177466</v>
      </c>
      <c r="S31" s="3">
        <v>904.879296638401</v>
      </c>
      <c r="T31" s="3">
        <v>21.395820714718351</v>
      </c>
      <c r="U31" s="3">
        <v>333.29598538764384</v>
      </c>
      <c r="V31" s="3">
        <v>139.15910811629317</v>
      </c>
      <c r="W31" s="3">
        <v>37.032887265293766</v>
      </c>
      <c r="X31" s="3">
        <f>35</f>
        <v>35</v>
      </c>
      <c r="Y31" s="3"/>
      <c r="Z31" s="52"/>
      <c r="AA31" s="34">
        <f t="shared" ref="AA31:AA37" si="7">SUM(Q31:Z31)</f>
        <v>1795.15134766808</v>
      </c>
    </row>
    <row r="32" spans="1:27" x14ac:dyDescent="0.25">
      <c r="A32" s="20"/>
      <c r="B32" s="31" t="s">
        <v>43</v>
      </c>
      <c r="C32" s="34"/>
      <c r="D32" s="34">
        <v>228.763666004008</v>
      </c>
      <c r="E32" s="34"/>
      <c r="F32" s="34"/>
      <c r="G32" s="34"/>
      <c r="H32" s="3"/>
      <c r="I32" s="34"/>
      <c r="J32" s="35"/>
      <c r="K32" s="35"/>
      <c r="L32" s="35"/>
      <c r="M32" s="34">
        <f>SUM(C32:I32)</f>
        <v>228.763666004008</v>
      </c>
      <c r="O32" s="11"/>
      <c r="P32" s="15" t="s">
        <v>27</v>
      </c>
      <c r="Q32" s="3"/>
      <c r="R32" s="3"/>
      <c r="S32" s="3"/>
      <c r="T32" s="3"/>
      <c r="U32" s="3"/>
      <c r="V32" s="3"/>
      <c r="W32" s="3">
        <f>L16</f>
        <v>23.73651615603308</v>
      </c>
      <c r="X32" s="3"/>
      <c r="Y32" s="3"/>
      <c r="Z32" s="52"/>
      <c r="AA32" s="34">
        <f t="shared" si="7"/>
        <v>23.73651615603308</v>
      </c>
    </row>
    <row r="33" spans="1:27" x14ac:dyDescent="0.25">
      <c r="A33" s="20"/>
      <c r="B33" s="31" t="s">
        <v>46</v>
      </c>
      <c r="C33" s="34">
        <f t="shared" ref="C33:I33" si="8">Q38</f>
        <v>772.57845250437663</v>
      </c>
      <c r="D33" s="34">
        <f t="shared" si="8"/>
        <v>407.68830978088602</v>
      </c>
      <c r="E33" s="34">
        <f t="shared" si="8"/>
        <v>5321.2328990258848</v>
      </c>
      <c r="F33" s="34">
        <f t="shared" si="8"/>
        <v>630.63111544106073</v>
      </c>
      <c r="G33" s="34">
        <f t="shared" si="8"/>
        <v>863.32568054450871</v>
      </c>
      <c r="H33" s="34">
        <f t="shared" si="8"/>
        <v>9166.6169274658096</v>
      </c>
      <c r="I33" s="34">
        <f t="shared" si="8"/>
        <v>3425.6716995420747</v>
      </c>
      <c r="J33" s="35"/>
      <c r="K33" s="35"/>
      <c r="L33" s="35"/>
      <c r="M33" s="34">
        <f>SUM(C33:I33)</f>
        <v>20587.745084304603</v>
      </c>
      <c r="O33" s="11"/>
      <c r="P33" s="15" t="s">
        <v>28</v>
      </c>
      <c r="Q33" s="36">
        <v>717.28709389387393</v>
      </c>
      <c r="R33" s="3">
        <v>0</v>
      </c>
      <c r="S33" s="3">
        <v>2024.518855585831</v>
      </c>
      <c r="T33" s="3">
        <v>557.80726910710609</v>
      </c>
      <c r="U33" s="3">
        <v>62.758615727473455</v>
      </c>
      <c r="V33" s="3">
        <v>255.00165126139245</v>
      </c>
      <c r="W33" s="36">
        <f>984.75910853965+730</f>
        <v>1714.75910853965</v>
      </c>
      <c r="X33" s="3"/>
      <c r="Y33" s="36">
        <v>25.930219863407874</v>
      </c>
      <c r="Z33" s="52"/>
      <c r="AA33" s="34">
        <f t="shared" si="7"/>
        <v>5358.062813978735</v>
      </c>
    </row>
    <row r="34" spans="1:27" x14ac:dyDescent="0.25">
      <c r="A34" s="20"/>
      <c r="B34" s="32" t="s">
        <v>42</v>
      </c>
      <c r="C34" s="38">
        <f>C30+C31+C32+C33</f>
        <v>772.57845250437663</v>
      </c>
      <c r="D34" s="38">
        <f t="shared" ref="D34:I34" si="9">D30+D31+D32+D33</f>
        <v>671.50517578489394</v>
      </c>
      <c r="E34" s="38">
        <f t="shared" si="9"/>
        <v>5321.2328990258848</v>
      </c>
      <c r="F34" s="38">
        <f>F30+F31+F32+F33</f>
        <v>1694.539884633776</v>
      </c>
      <c r="G34" s="38">
        <f t="shared" si="9"/>
        <v>863.32568054450871</v>
      </c>
      <c r="H34" s="38">
        <f t="shared" si="9"/>
        <v>9166.6169274658096</v>
      </c>
      <c r="I34" s="38">
        <f t="shared" si="9"/>
        <v>3425.6716995420747</v>
      </c>
      <c r="J34" s="39"/>
      <c r="K34" s="39"/>
      <c r="L34" s="39"/>
      <c r="M34" s="38">
        <f>SUM(C34:I34)</f>
        <v>21915.470719501325</v>
      </c>
      <c r="O34" s="11"/>
      <c r="P34" s="15" t="s">
        <v>29</v>
      </c>
      <c r="Q34" s="3"/>
      <c r="R34" s="3"/>
      <c r="S34" s="3"/>
      <c r="T34" s="3"/>
      <c r="U34" s="3"/>
      <c r="V34" s="3"/>
      <c r="W34" s="3"/>
      <c r="X34" s="3"/>
      <c r="Y34" s="3"/>
      <c r="Z34" s="52"/>
      <c r="AA34" s="34">
        <f t="shared" si="7"/>
        <v>0</v>
      </c>
    </row>
    <row r="35" spans="1:27" x14ac:dyDescent="0.25">
      <c r="A35" s="20">
        <v>4</v>
      </c>
      <c r="B35" s="12" t="s">
        <v>33</v>
      </c>
      <c r="C35" s="34"/>
      <c r="D35" s="34"/>
      <c r="E35" s="34"/>
      <c r="F35" s="34"/>
      <c r="G35" s="34"/>
      <c r="H35" s="3"/>
      <c r="I35" s="34"/>
      <c r="J35" s="34"/>
      <c r="K35" s="34"/>
      <c r="L35" s="34"/>
      <c r="M35" s="34"/>
      <c r="N35" s="24"/>
      <c r="O35" s="11"/>
      <c r="P35" s="15" t="s">
        <v>22</v>
      </c>
      <c r="Q35" s="3"/>
      <c r="R35" s="3"/>
      <c r="S35" s="3">
        <v>50.374460529909861</v>
      </c>
      <c r="T35" s="41"/>
      <c r="U35" s="3"/>
      <c r="V35" s="3">
        <v>34.682190658290082</v>
      </c>
      <c r="W35" s="3"/>
      <c r="X35" s="3">
        <v>3.7183856869707701</v>
      </c>
      <c r="Y35" s="59">
        <v>5.0147036328871894E-2</v>
      </c>
      <c r="Z35" s="52"/>
      <c r="AA35" s="34">
        <f t="shared" si="7"/>
        <v>88.825183911499579</v>
      </c>
    </row>
    <row r="36" spans="1:27" x14ac:dyDescent="0.25">
      <c r="A36" s="20"/>
      <c r="B36" s="14" t="s">
        <v>34</v>
      </c>
      <c r="C36" s="34"/>
      <c r="D36" s="34"/>
      <c r="E36" s="34"/>
      <c r="F36" s="34"/>
      <c r="G36" s="34"/>
      <c r="H36" s="34"/>
      <c r="I36" s="34"/>
      <c r="J36" s="35"/>
      <c r="K36" s="35"/>
      <c r="L36" s="35"/>
      <c r="M36" s="34">
        <f>SUM(C36:I36)</f>
        <v>0</v>
      </c>
      <c r="N36" s="24"/>
      <c r="O36" s="20"/>
      <c r="P36" s="15" t="s">
        <v>19</v>
      </c>
      <c r="Q36" s="3"/>
      <c r="R36" s="3"/>
      <c r="S36" s="3">
        <v>17.600000000000001</v>
      </c>
      <c r="T36" s="3"/>
      <c r="U36" s="3"/>
      <c r="V36" s="3"/>
      <c r="W36" s="3"/>
      <c r="X36" s="3">
        <v>158.4</v>
      </c>
      <c r="Y36" s="3"/>
      <c r="Z36" s="52"/>
      <c r="AA36" s="34">
        <f t="shared" si="7"/>
        <v>176</v>
      </c>
    </row>
    <row r="37" spans="1:27" x14ac:dyDescent="0.25">
      <c r="A37" s="20"/>
      <c r="B37" s="14" t="s">
        <v>35</v>
      </c>
      <c r="C37" s="35"/>
      <c r="D37" s="35"/>
      <c r="E37" s="35"/>
      <c r="F37" s="35"/>
      <c r="G37" s="35"/>
      <c r="H37" s="35"/>
      <c r="I37" s="35"/>
      <c r="J37" s="34"/>
      <c r="K37" s="35"/>
      <c r="L37" s="35"/>
      <c r="M37" s="34">
        <f>J37</f>
        <v>0</v>
      </c>
      <c r="O37" s="20"/>
      <c r="P37" s="15" t="s">
        <v>30</v>
      </c>
      <c r="Q37" s="3">
        <v>47.138515636547474</v>
      </c>
      <c r="R37" s="3">
        <v>91.452903209111355</v>
      </c>
      <c r="S37" s="3">
        <v>1133.1227359980294</v>
      </c>
      <c r="T37" s="3">
        <v>51.428025619236301</v>
      </c>
      <c r="U37" s="3">
        <v>467.27107942939142</v>
      </c>
      <c r="V37" s="3">
        <v>5192.7954764243595</v>
      </c>
      <c r="W37" s="3">
        <v>1650.1431875810979</v>
      </c>
      <c r="X37" s="3">
        <v>676</v>
      </c>
      <c r="Y37" s="3">
        <v>2798.667123196677</v>
      </c>
      <c r="Z37" s="52"/>
      <c r="AA37" s="34">
        <f t="shared" si="7"/>
        <v>12108.019047094451</v>
      </c>
    </row>
    <row r="38" spans="1:27" x14ac:dyDescent="0.25">
      <c r="A38" s="20">
        <v>5</v>
      </c>
      <c r="B38" s="12" t="s">
        <v>36</v>
      </c>
      <c r="C38" s="38">
        <f t="shared" ref="C38:M38" si="10">C37+C36+C34+C28+C17</f>
        <v>852.4782596759643</v>
      </c>
      <c r="D38" s="38">
        <f t="shared" si="10"/>
        <v>14172.536978781221</v>
      </c>
      <c r="E38" s="38">
        <f t="shared" si="10"/>
        <v>15974.402899025885</v>
      </c>
      <c r="F38" s="38">
        <f t="shared" si="10"/>
        <v>8001.6493656306784</v>
      </c>
      <c r="G38" s="38">
        <f t="shared" si="10"/>
        <v>863.32568054450871</v>
      </c>
      <c r="H38" s="38">
        <f t="shared" si="10"/>
        <v>9166.6169274658096</v>
      </c>
      <c r="I38" s="38">
        <f t="shared" si="10"/>
        <v>3425.6716995420747</v>
      </c>
      <c r="J38" s="38">
        <f t="shared" si="10"/>
        <v>0</v>
      </c>
      <c r="K38" s="38">
        <f t="shared" si="10"/>
        <v>14941.901821190637</v>
      </c>
      <c r="L38" s="38">
        <f t="shared" si="10"/>
        <v>14721.021944401882</v>
      </c>
      <c r="M38" s="38">
        <f t="shared" si="10"/>
        <v>82119.605576258662</v>
      </c>
      <c r="O38" s="11"/>
      <c r="P38" s="12" t="s">
        <v>45</v>
      </c>
      <c r="Q38" s="36">
        <f t="shared" ref="Q38:Z38" si="11">SUM(Q30:Q37)</f>
        <v>772.57845250437663</v>
      </c>
      <c r="R38" s="36">
        <f t="shared" si="11"/>
        <v>407.68830978088602</v>
      </c>
      <c r="S38" s="36">
        <f t="shared" si="11"/>
        <v>5321.2328990258848</v>
      </c>
      <c r="T38" s="36">
        <f t="shared" si="11"/>
        <v>630.63111544106073</v>
      </c>
      <c r="U38" s="36">
        <f t="shared" si="11"/>
        <v>863.32568054450871</v>
      </c>
      <c r="V38" s="36">
        <f t="shared" si="11"/>
        <v>9166.6169274658096</v>
      </c>
      <c r="W38" s="36">
        <f t="shared" si="11"/>
        <v>3425.6716995420747</v>
      </c>
      <c r="X38" s="36">
        <f t="shared" si="11"/>
        <v>626.39125945805779</v>
      </c>
      <c r="Y38" s="36">
        <f t="shared" si="11"/>
        <v>2847.3374900964136</v>
      </c>
      <c r="Z38" s="38">
        <f t="shared" si="11"/>
        <v>0</v>
      </c>
      <c r="AA38" s="38">
        <f>SUM(Q38:Z38)</f>
        <v>24061.473833859076</v>
      </c>
    </row>
    <row r="39" spans="1:27" x14ac:dyDescent="0.25">
      <c r="B39" s="2" t="s">
        <v>69</v>
      </c>
      <c r="O39" s="11"/>
      <c r="P39" s="19" t="s">
        <v>37</v>
      </c>
      <c r="Q39" s="34"/>
      <c r="R39" s="34"/>
      <c r="S39" s="34"/>
      <c r="T39" s="34"/>
      <c r="U39" s="34"/>
      <c r="V39" s="34"/>
      <c r="W39" s="34"/>
      <c r="X39" s="34"/>
      <c r="Y39" s="3"/>
      <c r="Z39" s="34"/>
      <c r="AA39" s="34">
        <f>SUM(Q39:Z39)</f>
        <v>0</v>
      </c>
    </row>
    <row r="40" spans="1:27" x14ac:dyDescent="0.25">
      <c r="B40" s="60" t="s">
        <v>112</v>
      </c>
      <c r="O40" s="11">
        <v>3</v>
      </c>
      <c r="P40" s="12" t="s">
        <v>31</v>
      </c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</row>
    <row r="41" spans="1:27" x14ac:dyDescent="0.25">
      <c r="P41" s="22" t="s">
        <v>40</v>
      </c>
      <c r="Q41" s="35"/>
      <c r="R41" s="35"/>
      <c r="S41" s="35"/>
      <c r="T41" s="35"/>
      <c r="U41" s="35"/>
      <c r="V41" s="35"/>
      <c r="W41" s="35"/>
      <c r="X41" s="35"/>
      <c r="Y41" s="35"/>
      <c r="Z41" s="34">
        <f>M30</f>
        <v>974.52073860166308</v>
      </c>
      <c r="AA41" s="34">
        <f t="shared" ref="AA41:AA48" si="12">SUM(Q41:Z41)</f>
        <v>974.52073860166308</v>
      </c>
    </row>
    <row r="42" spans="1:27" x14ac:dyDescent="0.25">
      <c r="O42" s="11"/>
      <c r="P42" s="28" t="s">
        <v>41</v>
      </c>
      <c r="Q42" s="35"/>
      <c r="R42" s="35"/>
      <c r="S42" s="35"/>
      <c r="T42" s="35"/>
      <c r="U42" s="35"/>
      <c r="V42" s="35"/>
      <c r="W42" s="35"/>
      <c r="X42" s="35"/>
      <c r="Y42" s="35"/>
      <c r="Z42" s="34">
        <f>M31</f>
        <v>124.44123059105226</v>
      </c>
      <c r="AA42" s="34">
        <f t="shared" si="12"/>
        <v>124.44123059105226</v>
      </c>
    </row>
    <row r="43" spans="1:27" x14ac:dyDescent="0.25">
      <c r="O43" s="11"/>
      <c r="P43" s="28" t="s">
        <v>43</v>
      </c>
      <c r="Q43" s="35"/>
      <c r="R43" s="35"/>
      <c r="S43" s="35"/>
      <c r="T43" s="35"/>
      <c r="U43" s="35"/>
      <c r="V43" s="35"/>
      <c r="W43" s="35"/>
      <c r="X43" s="35"/>
      <c r="Y43" s="35"/>
      <c r="Z43" s="34">
        <f>M32</f>
        <v>228.763666004008</v>
      </c>
      <c r="AA43" s="34">
        <f>SUM(Q43:Z43)</f>
        <v>228.763666004008</v>
      </c>
    </row>
    <row r="44" spans="1:27" x14ac:dyDescent="0.25">
      <c r="O44" s="11"/>
      <c r="P44" s="28" t="s">
        <v>46</v>
      </c>
      <c r="Q44" s="53"/>
      <c r="R44" s="53"/>
      <c r="S44" s="53"/>
      <c r="T44" s="53"/>
      <c r="U44" s="53"/>
      <c r="V44" s="53"/>
      <c r="W44" s="53"/>
      <c r="X44" s="53"/>
      <c r="Y44" s="53"/>
      <c r="Z44" s="54">
        <f>M33</f>
        <v>20587.745084304603</v>
      </c>
      <c r="AA44" s="34">
        <f>SUM(Q44:Z44)</f>
        <v>20587.745084304603</v>
      </c>
    </row>
    <row r="45" spans="1:27" x14ac:dyDescent="0.25">
      <c r="O45" s="11"/>
      <c r="P45" s="25" t="s">
        <v>42</v>
      </c>
      <c r="Q45" s="53"/>
      <c r="R45" s="53"/>
      <c r="S45" s="53"/>
      <c r="T45" s="53"/>
      <c r="U45" s="53"/>
      <c r="V45" s="53"/>
      <c r="W45" s="53"/>
      <c r="X45" s="53"/>
      <c r="Y45" s="53"/>
      <c r="Z45" s="55">
        <f>M34</f>
        <v>21915.470719501325</v>
      </c>
      <c r="AA45" s="38">
        <f>SUM(Q45:Z45)</f>
        <v>21915.470719501325</v>
      </c>
    </row>
    <row r="46" spans="1:27" x14ac:dyDescent="0.25">
      <c r="O46" s="11">
        <v>4</v>
      </c>
      <c r="P46" s="26" t="s">
        <v>33</v>
      </c>
      <c r="Q46" s="56"/>
      <c r="R46" s="47"/>
      <c r="S46" s="47"/>
      <c r="T46" s="47"/>
      <c r="U46" s="47"/>
      <c r="V46" s="47"/>
      <c r="W46" s="47"/>
      <c r="X46" s="47"/>
      <c r="Y46" s="47"/>
      <c r="Z46" s="48"/>
      <c r="AA46" s="48"/>
    </row>
    <row r="47" spans="1:27" x14ac:dyDescent="0.25">
      <c r="P47" s="14" t="s">
        <v>34</v>
      </c>
      <c r="Q47" s="57"/>
      <c r="R47" s="57"/>
      <c r="S47" s="57"/>
      <c r="T47" s="57"/>
      <c r="U47" s="57"/>
      <c r="V47" s="57"/>
      <c r="W47" s="57"/>
      <c r="X47" s="50">
        <f>M36</f>
        <v>0</v>
      </c>
      <c r="Y47" s="57"/>
      <c r="Z47" s="57"/>
      <c r="AA47" s="38">
        <f t="shared" si="12"/>
        <v>0</v>
      </c>
    </row>
    <row r="48" spans="1:27" x14ac:dyDescent="0.25">
      <c r="O48" s="11"/>
      <c r="P48" s="14" t="s">
        <v>35</v>
      </c>
      <c r="Q48" s="34"/>
      <c r="R48" s="34"/>
      <c r="S48" s="34"/>
      <c r="T48" s="34"/>
      <c r="U48" s="34"/>
      <c r="V48" s="34"/>
      <c r="W48" s="35"/>
      <c r="X48" s="35"/>
      <c r="Y48" s="35"/>
      <c r="Z48" s="35"/>
      <c r="AA48" s="38">
        <f t="shared" si="12"/>
        <v>0</v>
      </c>
    </row>
    <row r="49" spans="14:27" x14ac:dyDescent="0.25">
      <c r="O49" s="11">
        <v>5</v>
      </c>
      <c r="P49" s="29" t="s">
        <v>38</v>
      </c>
      <c r="Q49" s="38">
        <f>Q17+Q28+Q38</f>
        <v>852.4782596759643</v>
      </c>
      <c r="R49" s="38">
        <f>R17+R28+R38</f>
        <v>14137.483778781221</v>
      </c>
      <c r="S49" s="38">
        <f>S17+S28+S38+S39</f>
        <v>15869.720960685445</v>
      </c>
      <c r="T49" s="38">
        <f t="shared" ref="T49:Y49" si="13">T17+T28+T38</f>
        <v>12415.177542472831</v>
      </c>
      <c r="U49" s="38">
        <f t="shared" si="13"/>
        <v>863.32568054450871</v>
      </c>
      <c r="V49" s="38">
        <f t="shared" si="13"/>
        <v>9166.6169274658096</v>
      </c>
      <c r="W49" s="38">
        <f t="shared" si="13"/>
        <v>3425.6716995420747</v>
      </c>
      <c r="X49" s="38">
        <f t="shared" si="13"/>
        <v>626.39125945805779</v>
      </c>
      <c r="Y49" s="38">
        <f t="shared" si="13"/>
        <v>2847.3374900964136</v>
      </c>
      <c r="Z49" s="38">
        <f>Z17+Z28+Z38+Z45</f>
        <v>21915.470719501325</v>
      </c>
      <c r="AA49" s="38">
        <f>AA17+AA28+AA38+AA45+AA47+AA48+AA39</f>
        <v>82119.674318223653</v>
      </c>
    </row>
    <row r="50" spans="14:27" x14ac:dyDescent="0.25">
      <c r="P50" s="60" t="s">
        <v>112</v>
      </c>
    </row>
    <row r="51" spans="14:27" x14ac:dyDescent="0.25">
      <c r="N51" s="60"/>
    </row>
  </sheetData>
  <mergeCells count="17">
    <mergeCell ref="X5:X8"/>
    <mergeCell ref="Y5:Y8"/>
    <mergeCell ref="Z5:Z8"/>
    <mergeCell ref="AA5:AA8"/>
    <mergeCell ref="Q6:V6"/>
    <mergeCell ref="W6:W8"/>
    <mergeCell ref="Q5:V5"/>
    <mergeCell ref="B5:B8"/>
    <mergeCell ref="C5:I5"/>
    <mergeCell ref="C6:H6"/>
    <mergeCell ref="I6:I8"/>
    <mergeCell ref="P5:P8"/>
    <mergeCell ref="J5:J8"/>
    <mergeCell ref="K5:K8"/>
    <mergeCell ref="L5:L8"/>
    <mergeCell ref="M5:M8"/>
    <mergeCell ref="H7:H8"/>
  </mergeCells>
  <conditionalFormatting sqref="Y35">
    <cfRule type="expression" dxfId="1" priority="1">
      <formula>MOD(ROW(),3)=1</formula>
    </cfRule>
  </conditionalFormatting>
  <pageMargins left="0.70866141732283472" right="0.70866141732283472" top="0.74803149606299213" bottom="0.74803149606299213" header="0.31496062992125984" footer="0.31496062992125984"/>
  <pageSetup paperSize="9" scale="53" fitToWidth="2" orientation="landscape" verticalDpi="0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8E6C4-2424-4580-A1A7-240C164BE18D}">
  <sheetPr>
    <tabColor rgb="FF92D050"/>
  </sheetPr>
  <dimension ref="A1:AA50"/>
  <sheetViews>
    <sheetView tabSelected="1" view="pageBreakPreview" topLeftCell="A28" zoomScale="70" zoomScaleNormal="145" zoomScaleSheetLayoutView="70" workbookViewId="0">
      <selection activeCell="P50" sqref="P50"/>
    </sheetView>
  </sheetViews>
  <sheetFormatPr defaultRowHeight="14.25" x14ac:dyDescent="0.2"/>
  <cols>
    <col min="1" max="1" width="9.140625" style="63"/>
    <col min="2" max="2" width="64.85546875" style="60" customWidth="1"/>
    <col min="3" max="13" width="13.7109375" style="60" customWidth="1"/>
    <col min="14" max="15" width="9.140625" style="60"/>
    <col min="16" max="16" width="56.5703125" style="60" customWidth="1"/>
    <col min="17" max="27" width="13.7109375" style="60" customWidth="1"/>
    <col min="28" max="28" width="25.5703125" style="60" customWidth="1"/>
    <col min="29" max="16384" width="9.140625" style="60"/>
  </cols>
  <sheetData>
    <row r="1" spans="1:27" x14ac:dyDescent="0.2">
      <c r="A1" s="60"/>
      <c r="K1" s="61" t="s">
        <v>65</v>
      </c>
      <c r="O1" s="62"/>
      <c r="Y1" s="61" t="s">
        <v>66</v>
      </c>
    </row>
    <row r="2" spans="1:27" x14ac:dyDescent="0.2">
      <c r="A2" s="60"/>
      <c r="B2" s="61" t="s">
        <v>67</v>
      </c>
      <c r="O2" s="62"/>
      <c r="P2" s="61" t="s">
        <v>68</v>
      </c>
    </row>
    <row r="5" spans="1:27" ht="42.75" x14ac:dyDescent="0.2">
      <c r="B5" s="182" t="s">
        <v>72</v>
      </c>
      <c r="C5" s="180" t="s">
        <v>50</v>
      </c>
      <c r="D5" s="180"/>
      <c r="E5" s="180"/>
      <c r="F5" s="180"/>
      <c r="G5" s="180"/>
      <c r="H5" s="180"/>
      <c r="I5" s="180"/>
      <c r="J5" s="179" t="s">
        <v>9</v>
      </c>
      <c r="K5" s="179" t="s">
        <v>48</v>
      </c>
      <c r="L5" s="179" t="s">
        <v>47</v>
      </c>
      <c r="M5" s="179" t="s">
        <v>10</v>
      </c>
      <c r="P5" s="184" t="s">
        <v>75</v>
      </c>
      <c r="Q5" s="181" t="s">
        <v>2</v>
      </c>
      <c r="R5" s="181"/>
      <c r="S5" s="181"/>
      <c r="T5" s="181"/>
      <c r="U5" s="181"/>
      <c r="V5" s="181"/>
      <c r="W5" s="64" t="s">
        <v>3</v>
      </c>
      <c r="X5" s="179" t="s">
        <v>4</v>
      </c>
      <c r="Y5" s="179" t="s">
        <v>15</v>
      </c>
      <c r="Z5" s="179" t="s">
        <v>51</v>
      </c>
      <c r="AA5" s="179" t="s">
        <v>10</v>
      </c>
    </row>
    <row r="6" spans="1:27" ht="45" customHeight="1" x14ac:dyDescent="0.2">
      <c r="B6" s="182"/>
      <c r="C6" s="183" t="s">
        <v>0</v>
      </c>
      <c r="D6" s="183"/>
      <c r="E6" s="183"/>
      <c r="F6" s="183"/>
      <c r="G6" s="183"/>
      <c r="H6" s="183"/>
      <c r="I6" s="179" t="s">
        <v>1</v>
      </c>
      <c r="J6" s="179"/>
      <c r="K6" s="179"/>
      <c r="L6" s="179"/>
      <c r="M6" s="179"/>
      <c r="P6" s="184"/>
      <c r="Q6" s="180" t="s">
        <v>0</v>
      </c>
      <c r="R6" s="180"/>
      <c r="S6" s="180"/>
      <c r="T6" s="180"/>
      <c r="U6" s="180"/>
      <c r="V6" s="180"/>
      <c r="W6" s="179" t="s">
        <v>1</v>
      </c>
      <c r="X6" s="179"/>
      <c r="Y6" s="179"/>
      <c r="Z6" s="179"/>
      <c r="AA6" s="179"/>
    </row>
    <row r="7" spans="1:27" ht="78" customHeight="1" x14ac:dyDescent="0.2">
      <c r="B7" s="182"/>
      <c r="C7" s="65" t="s">
        <v>5</v>
      </c>
      <c r="D7" s="66" t="s">
        <v>71</v>
      </c>
      <c r="E7" s="65" t="s">
        <v>6</v>
      </c>
      <c r="F7" s="65" t="s">
        <v>70</v>
      </c>
      <c r="G7" s="65" t="s">
        <v>7</v>
      </c>
      <c r="H7" s="179" t="s">
        <v>8</v>
      </c>
      <c r="I7" s="179"/>
      <c r="J7" s="179"/>
      <c r="K7" s="179"/>
      <c r="L7" s="179"/>
      <c r="M7" s="179"/>
      <c r="P7" s="184"/>
      <c r="Q7" s="66" t="s">
        <v>5</v>
      </c>
      <c r="R7" s="66" t="s">
        <v>71</v>
      </c>
      <c r="S7" s="66" t="s">
        <v>6</v>
      </c>
      <c r="T7" s="65" t="s">
        <v>70</v>
      </c>
      <c r="U7" s="66" t="s">
        <v>7</v>
      </c>
      <c r="V7" s="66" t="s">
        <v>8</v>
      </c>
      <c r="W7" s="179"/>
      <c r="X7" s="179"/>
      <c r="Y7" s="179"/>
      <c r="Z7" s="179"/>
      <c r="AA7" s="179"/>
    </row>
    <row r="8" spans="1:27" ht="38.25" customHeight="1" x14ac:dyDescent="0.2">
      <c r="B8" s="182"/>
      <c r="C8" s="67" t="s">
        <v>11</v>
      </c>
      <c r="D8" s="68" t="s">
        <v>49</v>
      </c>
      <c r="E8" s="67" t="s">
        <v>12</v>
      </c>
      <c r="F8" s="67" t="s">
        <v>13</v>
      </c>
      <c r="G8" s="67" t="s">
        <v>14</v>
      </c>
      <c r="H8" s="179"/>
      <c r="I8" s="179"/>
      <c r="J8" s="179"/>
      <c r="K8" s="179"/>
      <c r="L8" s="179"/>
      <c r="M8" s="179"/>
      <c r="P8" s="184"/>
      <c r="Q8" s="68" t="s">
        <v>11</v>
      </c>
      <c r="R8" s="68" t="s">
        <v>16</v>
      </c>
      <c r="S8" s="68" t="s">
        <v>12</v>
      </c>
      <c r="T8" s="68" t="s">
        <v>13</v>
      </c>
      <c r="U8" s="68" t="s">
        <v>14</v>
      </c>
      <c r="V8" s="69"/>
      <c r="W8" s="179"/>
      <c r="X8" s="179"/>
      <c r="Y8" s="179"/>
      <c r="Z8" s="179"/>
      <c r="AA8" s="179"/>
    </row>
    <row r="9" spans="1:27" x14ac:dyDescent="0.2">
      <c r="A9" s="70">
        <v>1</v>
      </c>
      <c r="B9" s="71" t="s">
        <v>17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O9" s="62">
        <v>1</v>
      </c>
      <c r="P9" s="71" t="s">
        <v>17</v>
      </c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</row>
    <row r="10" spans="1:27" x14ac:dyDescent="0.2">
      <c r="A10" s="70"/>
      <c r="B10" s="73" t="s">
        <v>18</v>
      </c>
      <c r="C10" s="74"/>
      <c r="D10" s="74"/>
      <c r="E10" s="74"/>
      <c r="F10" s="74"/>
      <c r="G10" s="74"/>
      <c r="H10" s="74"/>
      <c r="I10" s="74"/>
      <c r="J10" s="74"/>
      <c r="K10" s="74"/>
      <c r="L10" s="75"/>
      <c r="M10" s="75"/>
      <c r="P10" s="76" t="s">
        <v>18</v>
      </c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</row>
    <row r="11" spans="1:27" x14ac:dyDescent="0.2">
      <c r="A11" s="70"/>
      <c r="B11" s="78" t="s">
        <v>19</v>
      </c>
      <c r="C11" s="74"/>
      <c r="D11" s="74"/>
      <c r="E11" s="74"/>
      <c r="F11" s="74"/>
      <c r="G11" s="74"/>
      <c r="H11" s="74"/>
      <c r="I11" s="74"/>
      <c r="J11" s="74"/>
      <c r="K11" s="74"/>
      <c r="L11" s="75">
        <v>1432.09</v>
      </c>
      <c r="M11" s="75">
        <f t="shared" ref="M11:M16" si="0">SUM(L11)</f>
        <v>1432.09</v>
      </c>
      <c r="O11" s="62"/>
      <c r="P11" s="76" t="s">
        <v>19</v>
      </c>
      <c r="Q11" s="77"/>
      <c r="R11" s="79">
        <f>L11</f>
        <v>1432.09</v>
      </c>
      <c r="S11" s="77"/>
      <c r="T11" s="77"/>
      <c r="U11" s="77"/>
      <c r="V11" s="77"/>
      <c r="W11" s="77"/>
      <c r="X11" s="77"/>
      <c r="Y11" s="77"/>
      <c r="Z11" s="77"/>
      <c r="AA11" s="77">
        <f>SUM(Q11:V11)</f>
        <v>1432.09</v>
      </c>
    </row>
    <row r="12" spans="1:27" x14ac:dyDescent="0.2">
      <c r="A12" s="70"/>
      <c r="B12" s="78" t="s">
        <v>20</v>
      </c>
      <c r="C12" s="74"/>
      <c r="D12" s="74"/>
      <c r="E12" s="74"/>
      <c r="F12" s="74"/>
      <c r="G12" s="74"/>
      <c r="H12" s="74"/>
      <c r="I12" s="74"/>
      <c r="J12" s="74"/>
      <c r="K12" s="74"/>
      <c r="L12" s="80">
        <v>1266.28</v>
      </c>
      <c r="M12" s="75">
        <f t="shared" si="0"/>
        <v>1266.28</v>
      </c>
      <c r="O12" s="62"/>
      <c r="P12" s="76" t="s">
        <v>20</v>
      </c>
      <c r="Q12" s="77"/>
      <c r="R12" s="79">
        <f>L12</f>
        <v>1266.28</v>
      </c>
      <c r="S12" s="77"/>
      <c r="T12" s="77"/>
      <c r="U12" s="77"/>
      <c r="V12" s="77"/>
      <c r="W12" s="77"/>
      <c r="X12" s="77"/>
      <c r="Y12" s="77"/>
      <c r="Z12" s="77"/>
      <c r="AA12" s="77">
        <f t="shared" ref="AA12:AA17" si="1">SUM(Q12:V12)</f>
        <v>1266.28</v>
      </c>
    </row>
    <row r="13" spans="1:27" x14ac:dyDescent="0.2">
      <c r="A13" s="70"/>
      <c r="B13" s="78" t="s">
        <v>21</v>
      </c>
      <c r="C13" s="74"/>
      <c r="D13" s="74"/>
      <c r="E13" s="74"/>
      <c r="F13" s="74"/>
      <c r="G13" s="74"/>
      <c r="H13" s="74"/>
      <c r="I13" s="74"/>
      <c r="J13" s="74"/>
      <c r="K13" s="74"/>
      <c r="L13" s="80">
        <f>11025.5+D32</f>
        <v>11291.052175908419</v>
      </c>
      <c r="M13" s="75">
        <f t="shared" si="0"/>
        <v>11291.052175908419</v>
      </c>
      <c r="O13" s="62"/>
      <c r="P13" s="81" t="s">
        <v>21</v>
      </c>
      <c r="Q13" s="77"/>
      <c r="R13" s="79">
        <f>L13</f>
        <v>11291.052175908419</v>
      </c>
      <c r="S13" s="77"/>
      <c r="T13" s="77"/>
      <c r="U13" s="77"/>
      <c r="V13" s="77"/>
      <c r="W13" s="77"/>
      <c r="X13" s="77"/>
      <c r="Y13" s="77"/>
      <c r="Z13" s="77"/>
      <c r="AA13" s="77">
        <f t="shared" si="1"/>
        <v>11291.052175908419</v>
      </c>
    </row>
    <row r="14" spans="1:27" ht="15.75" x14ac:dyDescent="0.25">
      <c r="A14" s="70"/>
      <c r="B14" s="78" t="s">
        <v>22</v>
      </c>
      <c r="C14" s="74"/>
      <c r="D14" s="74"/>
      <c r="E14" s="74"/>
      <c r="F14" s="74"/>
      <c r="G14" s="74"/>
      <c r="H14" s="74"/>
      <c r="I14" s="117"/>
      <c r="J14" s="74"/>
      <c r="K14" s="74"/>
      <c r="L14" s="80">
        <v>503.5</v>
      </c>
      <c r="M14" s="75">
        <f t="shared" si="0"/>
        <v>503.5</v>
      </c>
      <c r="O14" s="62"/>
      <c r="P14" s="81" t="s">
        <v>22</v>
      </c>
      <c r="Q14" s="77"/>
      <c r="R14" s="79">
        <f>L14</f>
        <v>503.5</v>
      </c>
      <c r="S14" s="77"/>
      <c r="T14" s="77"/>
      <c r="U14" s="77"/>
      <c r="V14" s="77"/>
      <c r="W14" s="77"/>
      <c r="X14" s="77"/>
      <c r="Y14" s="77"/>
      <c r="Z14" s="77"/>
      <c r="AA14" s="77">
        <f t="shared" si="1"/>
        <v>503.5</v>
      </c>
    </row>
    <row r="15" spans="1:27" x14ac:dyDescent="0.2">
      <c r="A15" s="70"/>
      <c r="B15" s="73" t="s">
        <v>39</v>
      </c>
      <c r="C15" s="74"/>
      <c r="D15" s="74"/>
      <c r="E15" s="74"/>
      <c r="F15" s="74"/>
      <c r="G15" s="74"/>
      <c r="H15" s="74"/>
      <c r="I15" s="74"/>
      <c r="J15" s="74"/>
      <c r="K15" s="74"/>
      <c r="L15" s="80">
        <v>1092.2691928673776</v>
      </c>
      <c r="M15" s="75">
        <f t="shared" si="0"/>
        <v>1092.2691928673776</v>
      </c>
      <c r="O15" s="62"/>
      <c r="P15" s="76" t="s">
        <v>23</v>
      </c>
      <c r="Q15" s="80">
        <v>60.47873634088274</v>
      </c>
      <c r="R15" s="82"/>
      <c r="S15" s="77"/>
      <c r="T15" s="77">
        <f>M15-Q15</f>
        <v>1031.7904565264948</v>
      </c>
      <c r="U15" s="77"/>
      <c r="V15" s="77"/>
      <c r="W15" s="77"/>
      <c r="X15" s="77"/>
      <c r="Y15" s="77"/>
      <c r="Z15" s="77"/>
      <c r="AA15" s="77">
        <f t="shared" si="1"/>
        <v>1092.2691928673776</v>
      </c>
    </row>
    <row r="16" spans="1:27" x14ac:dyDescent="0.2">
      <c r="A16" s="70"/>
      <c r="B16" s="73" t="s">
        <v>73</v>
      </c>
      <c r="C16" s="74"/>
      <c r="D16" s="74"/>
      <c r="E16" s="74"/>
      <c r="F16" s="74"/>
      <c r="G16" s="74"/>
      <c r="H16" s="74"/>
      <c r="I16" s="74"/>
      <c r="J16" s="74"/>
      <c r="K16" s="74"/>
      <c r="L16" s="83">
        <v>54.734658428257873</v>
      </c>
      <c r="M16" s="75">
        <f t="shared" si="0"/>
        <v>54.734658428257873</v>
      </c>
      <c r="O16" s="62"/>
      <c r="P16" s="76" t="s">
        <v>74</v>
      </c>
      <c r="Q16" s="83">
        <f>L16</f>
        <v>54.734658428257873</v>
      </c>
      <c r="R16" s="84"/>
      <c r="S16" s="77"/>
      <c r="T16" s="77"/>
      <c r="U16" s="77"/>
      <c r="V16" s="77"/>
      <c r="W16" s="77"/>
      <c r="X16" s="77"/>
      <c r="Y16" s="77"/>
      <c r="Z16" s="77"/>
      <c r="AA16" s="77">
        <f t="shared" si="1"/>
        <v>54.734658428257873</v>
      </c>
    </row>
    <row r="17" spans="1:27" x14ac:dyDescent="0.2">
      <c r="A17" s="70"/>
      <c r="B17" s="85" t="s">
        <v>10</v>
      </c>
      <c r="C17" s="74"/>
      <c r="D17" s="74"/>
      <c r="E17" s="74"/>
      <c r="F17" s="74"/>
      <c r="G17" s="74"/>
      <c r="H17" s="74"/>
      <c r="I17" s="74"/>
      <c r="J17" s="74"/>
      <c r="K17" s="74"/>
      <c r="L17" s="86">
        <f>SUM(L11:L16)</f>
        <v>15639.926027204054</v>
      </c>
      <c r="M17" s="87">
        <f>SUM(L17)</f>
        <v>15639.926027204054</v>
      </c>
      <c r="O17" s="62"/>
      <c r="P17" s="88" t="s">
        <v>44</v>
      </c>
      <c r="Q17" s="89">
        <f t="shared" ref="Q17:V17" si="2">SUM(Q11:Q16)</f>
        <v>115.21339476914062</v>
      </c>
      <c r="R17" s="89">
        <f t="shared" si="2"/>
        <v>14492.922175908418</v>
      </c>
      <c r="S17" s="89">
        <f t="shared" si="2"/>
        <v>0</v>
      </c>
      <c r="T17" s="89">
        <f t="shared" si="2"/>
        <v>1031.7904565264948</v>
      </c>
      <c r="U17" s="89">
        <f t="shared" si="2"/>
        <v>0</v>
      </c>
      <c r="V17" s="89">
        <f t="shared" si="2"/>
        <v>0</v>
      </c>
      <c r="W17" s="90"/>
      <c r="X17" s="90"/>
      <c r="Y17" s="90"/>
      <c r="Z17" s="90"/>
      <c r="AA17" s="90">
        <f t="shared" si="1"/>
        <v>15639.926027204052</v>
      </c>
    </row>
    <row r="18" spans="1:27" x14ac:dyDescent="0.2">
      <c r="A18" s="70">
        <v>2</v>
      </c>
      <c r="B18" s="71" t="s">
        <v>24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O18" s="62">
        <v>2</v>
      </c>
      <c r="P18" s="90" t="s">
        <v>24</v>
      </c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</row>
    <row r="19" spans="1:27" x14ac:dyDescent="0.2">
      <c r="A19" s="70"/>
      <c r="B19" s="91" t="s">
        <v>25</v>
      </c>
      <c r="C19" s="75"/>
      <c r="D19" s="75"/>
      <c r="E19" s="75"/>
      <c r="F19" s="75"/>
      <c r="G19" s="75"/>
      <c r="H19" s="75"/>
      <c r="I19" s="74"/>
      <c r="J19" s="74"/>
      <c r="K19" s="80"/>
      <c r="L19" s="74"/>
      <c r="M19" s="75"/>
      <c r="P19" s="92" t="s">
        <v>77</v>
      </c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</row>
    <row r="20" spans="1:27" x14ac:dyDescent="0.2">
      <c r="A20" s="70"/>
      <c r="B20" s="78" t="s">
        <v>21</v>
      </c>
      <c r="C20" s="75"/>
      <c r="D20" s="80">
        <v>11025.563991872415</v>
      </c>
      <c r="E20" s="75"/>
      <c r="F20" s="75"/>
      <c r="G20" s="75"/>
      <c r="H20" s="75"/>
      <c r="I20" s="74"/>
      <c r="J20" s="74"/>
      <c r="K20" s="80">
        <v>3560.8348282314828</v>
      </c>
      <c r="L20" s="74"/>
      <c r="M20" s="75">
        <f t="shared" ref="M20:M27" si="3">SUM(C20:L20)</f>
        <v>14586.398820103899</v>
      </c>
      <c r="N20" s="93"/>
      <c r="O20" s="94"/>
      <c r="P20" s="81" t="s">
        <v>21</v>
      </c>
      <c r="Q20" s="77"/>
      <c r="R20" s="77"/>
      <c r="S20" s="77"/>
      <c r="T20" s="77">
        <v>9405.4599999999991</v>
      </c>
      <c r="U20" s="77"/>
      <c r="V20" s="77"/>
      <c r="W20" s="77"/>
      <c r="X20" s="77"/>
      <c r="Y20" s="77"/>
      <c r="Z20" s="77"/>
      <c r="AA20" s="77">
        <f>SUM(Q20:Z20)</f>
        <v>9405.4599999999991</v>
      </c>
    </row>
    <row r="21" spans="1:27" x14ac:dyDescent="0.2">
      <c r="A21" s="70"/>
      <c r="B21" s="78" t="s">
        <v>26</v>
      </c>
      <c r="C21" s="75"/>
      <c r="D21" s="83">
        <v>1266.28</v>
      </c>
      <c r="E21" s="75"/>
      <c r="F21" s="75"/>
      <c r="G21" s="75"/>
      <c r="H21" s="75"/>
      <c r="I21" s="74"/>
      <c r="J21" s="74"/>
      <c r="K21" s="80">
        <v>1107.06</v>
      </c>
      <c r="L21" s="74"/>
      <c r="M21" s="75">
        <f t="shared" si="3"/>
        <v>2373.34</v>
      </c>
      <c r="N21" s="93"/>
      <c r="O21" s="94"/>
      <c r="P21" s="81" t="s">
        <v>26</v>
      </c>
      <c r="Q21" s="77"/>
      <c r="R21" s="77"/>
      <c r="S21" s="77"/>
      <c r="T21" s="77">
        <v>522.19888189298115</v>
      </c>
      <c r="U21" s="77"/>
      <c r="V21" s="77"/>
      <c r="W21" s="77"/>
      <c r="X21" s="77"/>
      <c r="Y21" s="77"/>
      <c r="Z21" s="77"/>
      <c r="AA21" s="77">
        <f t="shared" ref="AA21:AA27" si="4">SUM(Q21:Z21)</f>
        <v>522.19888189298115</v>
      </c>
    </row>
    <row r="22" spans="1:27" x14ac:dyDescent="0.2">
      <c r="A22" s="70"/>
      <c r="B22" s="78" t="s">
        <v>27</v>
      </c>
      <c r="C22" s="80">
        <f>54.7346584282579+Q15</f>
        <v>115.21339476914065</v>
      </c>
      <c r="D22" s="75"/>
      <c r="E22" s="75"/>
      <c r="F22" s="75"/>
      <c r="G22" s="75"/>
      <c r="H22" s="75"/>
      <c r="I22" s="74"/>
      <c r="J22" s="74"/>
      <c r="K22" s="80"/>
      <c r="L22" s="74"/>
      <c r="M22" s="75">
        <f t="shared" si="3"/>
        <v>115.21339476914065</v>
      </c>
      <c r="N22" s="93"/>
      <c r="O22" s="94"/>
      <c r="P22" s="81" t="s">
        <v>27</v>
      </c>
      <c r="Q22" s="77"/>
      <c r="R22" s="77"/>
      <c r="S22" s="77"/>
      <c r="T22" s="77">
        <f>Q15</f>
        <v>60.47873634088274</v>
      </c>
      <c r="U22" s="77"/>
      <c r="V22" s="77"/>
      <c r="W22" s="77"/>
      <c r="X22" s="77"/>
      <c r="Y22" s="77"/>
      <c r="Z22" s="77"/>
      <c r="AA22" s="77">
        <f t="shared" si="4"/>
        <v>60.47873634088274</v>
      </c>
    </row>
    <row r="23" spans="1:27" x14ac:dyDescent="0.2">
      <c r="A23" s="70"/>
      <c r="B23" s="78" t="s">
        <v>28</v>
      </c>
      <c r="C23" s="80"/>
      <c r="D23" s="80"/>
      <c r="E23" s="75"/>
      <c r="F23" s="80">
        <f>5705.45</f>
        <v>5705.45</v>
      </c>
      <c r="G23" s="75"/>
      <c r="H23" s="75"/>
      <c r="I23" s="74"/>
      <c r="J23" s="74"/>
      <c r="K23" s="95">
        <v>15.82504953431833</v>
      </c>
      <c r="L23" s="74"/>
      <c r="M23" s="75">
        <f t="shared" si="3"/>
        <v>5721.275049534318</v>
      </c>
      <c r="N23" s="93"/>
      <c r="O23" s="94"/>
      <c r="P23" s="81" t="s">
        <v>28</v>
      </c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>
        <f t="shared" si="4"/>
        <v>0</v>
      </c>
    </row>
    <row r="24" spans="1:27" ht="19.5" customHeight="1" x14ac:dyDescent="0.2">
      <c r="A24" s="70"/>
      <c r="B24" s="78" t="s">
        <v>29</v>
      </c>
      <c r="C24" s="75"/>
      <c r="D24" s="75"/>
      <c r="E24" s="75"/>
      <c r="F24" s="75">
        <f>M15</f>
        <v>1092.2691928673776</v>
      </c>
      <c r="G24" s="75"/>
      <c r="H24" s="75"/>
      <c r="I24" s="74"/>
      <c r="J24" s="74"/>
      <c r="K24" s="75"/>
      <c r="L24" s="74"/>
      <c r="M24" s="75">
        <f t="shared" si="3"/>
        <v>1092.2691928673776</v>
      </c>
      <c r="N24" s="93"/>
      <c r="O24" s="94"/>
      <c r="P24" s="81" t="s">
        <v>29</v>
      </c>
      <c r="Q24" s="77"/>
      <c r="R24" s="77"/>
      <c r="S24" s="77"/>
      <c r="T24" s="77">
        <f>M15</f>
        <v>1092.2691928673776</v>
      </c>
      <c r="U24" s="77"/>
      <c r="V24" s="77"/>
      <c r="W24" s="77"/>
      <c r="X24" s="77"/>
      <c r="Y24" s="77"/>
      <c r="Z24" s="77"/>
      <c r="AA24" s="77">
        <f t="shared" si="4"/>
        <v>1092.2691928673776</v>
      </c>
    </row>
    <row r="25" spans="1:27" ht="27" customHeight="1" x14ac:dyDescent="0.2">
      <c r="A25" s="70"/>
      <c r="B25" s="78" t="s">
        <v>22</v>
      </c>
      <c r="C25" s="75"/>
      <c r="D25" s="80">
        <v>503.55129472821636</v>
      </c>
      <c r="E25" s="75"/>
      <c r="F25" s="75"/>
      <c r="G25" s="75"/>
      <c r="H25" s="75"/>
      <c r="I25" s="74"/>
      <c r="J25" s="74"/>
      <c r="K25" s="80">
        <v>0.21605299098606939</v>
      </c>
      <c r="L25" s="74"/>
      <c r="M25" s="75">
        <f t="shared" si="3"/>
        <v>503.76734771920241</v>
      </c>
      <c r="N25" s="93"/>
      <c r="O25" s="94"/>
      <c r="P25" s="81" t="s">
        <v>22</v>
      </c>
      <c r="Q25" s="77"/>
      <c r="R25" s="77"/>
      <c r="S25" s="77"/>
      <c r="T25" s="77">
        <v>429.01301283802246</v>
      </c>
      <c r="U25" s="77"/>
      <c r="V25" s="77"/>
      <c r="W25" s="77"/>
      <c r="X25" s="77"/>
      <c r="Y25" s="77"/>
      <c r="Z25" s="77"/>
      <c r="AA25" s="77">
        <f t="shared" si="4"/>
        <v>429.01301283802246</v>
      </c>
    </row>
    <row r="26" spans="1:27" ht="30.75" customHeight="1" x14ac:dyDescent="0.2">
      <c r="A26" s="70"/>
      <c r="B26" s="78" t="s">
        <v>19</v>
      </c>
      <c r="C26" s="75"/>
      <c r="D26" s="75">
        <v>1432.2856227975392</v>
      </c>
      <c r="E26" s="75"/>
      <c r="F26" s="75"/>
      <c r="G26" s="75"/>
      <c r="H26" s="75"/>
      <c r="I26" s="74"/>
      <c r="J26" s="74"/>
      <c r="K26" s="80">
        <v>9484.7455421904233</v>
      </c>
      <c r="L26" s="74"/>
      <c r="M26" s="75">
        <f t="shared" si="3"/>
        <v>10917.031164987962</v>
      </c>
      <c r="N26" s="93"/>
      <c r="O26" s="94"/>
      <c r="P26" s="81" t="s">
        <v>19</v>
      </c>
      <c r="Q26" s="77"/>
      <c r="R26" s="77"/>
      <c r="S26" s="77">
        <v>10770.429255493604</v>
      </c>
      <c r="T26" s="77"/>
      <c r="U26" s="77"/>
      <c r="V26" s="77"/>
      <c r="W26" s="77"/>
      <c r="X26" s="77"/>
      <c r="Y26" s="77"/>
      <c r="Z26" s="77"/>
      <c r="AA26" s="77">
        <f t="shared" si="4"/>
        <v>10770.429255493604</v>
      </c>
    </row>
    <row r="27" spans="1:27" x14ac:dyDescent="0.2">
      <c r="A27" s="70"/>
      <c r="B27" s="78" t="s">
        <v>30</v>
      </c>
      <c r="C27" s="75"/>
      <c r="D27" s="75"/>
      <c r="E27" s="75">
        <v>10986.349524147974</v>
      </c>
      <c r="F27" s="75"/>
      <c r="G27" s="75"/>
      <c r="H27" s="75"/>
      <c r="I27" s="74"/>
      <c r="J27" s="74"/>
      <c r="K27" s="80">
        <v>1396.4843223051073</v>
      </c>
      <c r="L27" s="74"/>
      <c r="M27" s="75">
        <f t="shared" si="3"/>
        <v>12382.833846453081</v>
      </c>
      <c r="N27" s="93"/>
      <c r="O27" s="94"/>
      <c r="P27" s="81" t="s">
        <v>30</v>
      </c>
      <c r="Q27" s="77"/>
      <c r="R27" s="77"/>
      <c r="S27" s="77"/>
      <c r="T27" s="77">
        <v>19.9763413452504</v>
      </c>
      <c r="U27" s="77"/>
      <c r="V27" s="77"/>
      <c r="W27" s="77"/>
      <c r="X27" s="77"/>
      <c r="Y27" s="77"/>
      <c r="Z27" s="77"/>
      <c r="AA27" s="77">
        <f t="shared" si="4"/>
        <v>19.9763413452504</v>
      </c>
    </row>
    <row r="28" spans="1:27" x14ac:dyDescent="0.2">
      <c r="A28" s="70"/>
      <c r="B28" s="96" t="s">
        <v>44</v>
      </c>
      <c r="C28" s="87">
        <f t="shared" ref="C28:M28" si="5">SUM(C19:C27)</f>
        <v>115.21339476914065</v>
      </c>
      <c r="D28" s="87">
        <f t="shared" si="5"/>
        <v>14227.680909398172</v>
      </c>
      <c r="E28" s="87">
        <f t="shared" si="5"/>
        <v>10986.349524147974</v>
      </c>
      <c r="F28" s="87">
        <f t="shared" si="5"/>
        <v>6797.7191928673774</v>
      </c>
      <c r="G28" s="87">
        <f t="shared" si="5"/>
        <v>0</v>
      </c>
      <c r="H28" s="87">
        <f t="shared" si="5"/>
        <v>0</v>
      </c>
      <c r="I28" s="87">
        <f t="shared" si="5"/>
        <v>0</v>
      </c>
      <c r="J28" s="87">
        <f t="shared" si="5"/>
        <v>0</v>
      </c>
      <c r="K28" s="87">
        <f t="shared" si="5"/>
        <v>15565.165795252316</v>
      </c>
      <c r="L28" s="87">
        <f t="shared" si="5"/>
        <v>0</v>
      </c>
      <c r="M28" s="87">
        <f t="shared" si="5"/>
        <v>47692.128816434983</v>
      </c>
      <c r="O28" s="94"/>
      <c r="P28" s="82" t="s">
        <v>52</v>
      </c>
      <c r="Q28" s="90">
        <f t="shared" ref="Q28:V28" si="6">SUM(Q20:Q27)</f>
        <v>0</v>
      </c>
      <c r="R28" s="90">
        <f t="shared" si="6"/>
        <v>0</v>
      </c>
      <c r="S28" s="90">
        <f t="shared" si="6"/>
        <v>10770.429255493604</v>
      </c>
      <c r="T28" s="90">
        <f t="shared" si="6"/>
        <v>11529.396165284514</v>
      </c>
      <c r="U28" s="90">
        <f t="shared" si="6"/>
        <v>0</v>
      </c>
      <c r="V28" s="90">
        <f t="shared" si="6"/>
        <v>0</v>
      </c>
      <c r="W28" s="90"/>
      <c r="X28" s="90"/>
      <c r="Y28" s="90"/>
      <c r="Z28" s="90"/>
      <c r="AA28" s="90">
        <f>SUM(Q28:Z28)</f>
        <v>22299.825420778117</v>
      </c>
    </row>
    <row r="29" spans="1:27" x14ac:dyDescent="0.2">
      <c r="A29" s="70">
        <v>3</v>
      </c>
      <c r="B29" s="71" t="s">
        <v>31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O29" s="62"/>
      <c r="P29" s="92" t="s">
        <v>32</v>
      </c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</row>
    <row r="30" spans="1:27" x14ac:dyDescent="0.2">
      <c r="A30" s="70"/>
      <c r="B30" s="97" t="s">
        <v>40</v>
      </c>
      <c r="C30" s="75"/>
      <c r="D30" s="80">
        <v>2.5808400000000002</v>
      </c>
      <c r="E30" s="75"/>
      <c r="F30" s="75">
        <v>972.59834424621818</v>
      </c>
      <c r="G30" s="75"/>
      <c r="H30" s="80"/>
      <c r="I30" s="75"/>
      <c r="J30" s="75"/>
      <c r="K30" s="75"/>
      <c r="L30" s="75"/>
      <c r="M30" s="75">
        <f>SUM(C30:I30)</f>
        <v>975.17918424621814</v>
      </c>
      <c r="O30" s="62"/>
      <c r="P30" s="81" t="s">
        <v>21</v>
      </c>
      <c r="Q30" s="77"/>
      <c r="R30" s="77"/>
      <c r="S30" s="77">
        <v>1350.813830856888</v>
      </c>
      <c r="T30" s="77"/>
      <c r="U30" s="77"/>
      <c r="V30" s="77">
        <v>3895.0886269690536</v>
      </c>
      <c r="W30" s="77"/>
      <c r="X30" s="77">
        <f>-66.5118458831415+(-18)</f>
        <v>-84.511845883141504</v>
      </c>
      <c r="Y30" s="77">
        <v>19.759888699586639</v>
      </c>
      <c r="Z30" s="77"/>
      <c r="AA30" s="77">
        <f>SUM(Q30:Z30)</f>
        <v>5181.1505006423868</v>
      </c>
    </row>
    <row r="31" spans="1:27" x14ac:dyDescent="0.2">
      <c r="A31" s="70"/>
      <c r="B31" s="97" t="s">
        <v>41</v>
      </c>
      <c r="C31" s="75"/>
      <c r="D31" s="75">
        <v>31.586400000000001</v>
      </c>
      <c r="E31" s="75"/>
      <c r="F31" s="75">
        <v>90.47</v>
      </c>
      <c r="G31" s="75"/>
      <c r="H31" s="80"/>
      <c r="I31" s="75"/>
      <c r="J31" s="74"/>
      <c r="K31" s="74"/>
      <c r="L31" s="74"/>
      <c r="M31" s="75">
        <f>SUM(C31:I31)</f>
        <v>122.0564</v>
      </c>
      <c r="O31" s="62"/>
      <c r="P31" s="81" t="s">
        <v>26</v>
      </c>
      <c r="Q31" s="77">
        <v>8.3517022343567149</v>
      </c>
      <c r="R31" s="77">
        <v>344.55121561635178</v>
      </c>
      <c r="S31" s="77">
        <v>895.32857859252238</v>
      </c>
      <c r="T31" s="77">
        <v>23.53266098326554</v>
      </c>
      <c r="U31" s="77">
        <v>360.40205048197464</v>
      </c>
      <c r="V31" s="77">
        <v>147.59023792277256</v>
      </c>
      <c r="W31" s="77">
        <v>40.044672275774964</v>
      </c>
      <c r="X31" s="77">
        <v>31</v>
      </c>
      <c r="Y31" s="77"/>
      <c r="Z31" s="77"/>
      <c r="AA31" s="77">
        <f t="shared" ref="AA31:AA37" si="7">SUM(Q31:Z31)</f>
        <v>1850.8011181070183</v>
      </c>
    </row>
    <row r="32" spans="1:27" x14ac:dyDescent="0.2">
      <c r="A32" s="70"/>
      <c r="B32" s="97" t="s">
        <v>43</v>
      </c>
      <c r="C32" s="75"/>
      <c r="D32" s="75">
        <v>265.55217590841835</v>
      </c>
      <c r="E32" s="75"/>
      <c r="F32" s="75"/>
      <c r="G32" s="75"/>
      <c r="H32" s="80"/>
      <c r="I32" s="75"/>
      <c r="J32" s="74"/>
      <c r="K32" s="74"/>
      <c r="L32" s="74"/>
      <c r="M32" s="75">
        <f>SUM(C32:I32)</f>
        <v>265.55217590841835</v>
      </c>
      <c r="O32" s="62"/>
      <c r="P32" s="81" t="s">
        <v>27</v>
      </c>
      <c r="Q32" s="77"/>
      <c r="R32" s="77"/>
      <c r="S32" s="77"/>
      <c r="T32" s="77"/>
      <c r="U32" s="77"/>
      <c r="V32" s="77"/>
      <c r="W32" s="77">
        <f>L16</f>
        <v>54.734658428257873</v>
      </c>
      <c r="X32" s="77"/>
      <c r="Y32" s="77"/>
      <c r="Z32" s="77"/>
      <c r="AA32" s="77">
        <f t="shared" si="7"/>
        <v>54.734658428257873</v>
      </c>
    </row>
    <row r="33" spans="1:27" x14ac:dyDescent="0.2">
      <c r="A33" s="70"/>
      <c r="B33" s="97" t="s">
        <v>46</v>
      </c>
      <c r="C33" s="75">
        <f t="shared" ref="C33:I33" si="8">Q38</f>
        <v>828.85422457003153</v>
      </c>
      <c r="D33" s="75">
        <f t="shared" si="8"/>
        <v>450.05664845403356</v>
      </c>
      <c r="E33" s="75">
        <f t="shared" si="8"/>
        <v>5760.3182527780918</v>
      </c>
      <c r="F33" s="75">
        <f t="shared" si="8"/>
        <v>758.62635533881883</v>
      </c>
      <c r="G33" s="75">
        <f t="shared" si="8"/>
        <v>920.2770538375064</v>
      </c>
      <c r="H33" s="75">
        <f t="shared" si="8"/>
        <v>9627.9306789556158</v>
      </c>
      <c r="I33" s="75">
        <f t="shared" si="8"/>
        <v>3499.2974526912531</v>
      </c>
      <c r="J33" s="74"/>
      <c r="K33" s="74"/>
      <c r="L33" s="74"/>
      <c r="M33" s="75">
        <f>SUM(C33:I33)</f>
        <v>21845.360666625347</v>
      </c>
      <c r="O33" s="62"/>
      <c r="P33" s="81" t="s">
        <v>28</v>
      </c>
      <c r="Q33" s="90">
        <v>768.27014419688999</v>
      </c>
      <c r="R33" s="77">
        <v>0</v>
      </c>
      <c r="S33" s="77">
        <v>2222.7198736258574</v>
      </c>
      <c r="T33" s="77">
        <v>676.58576269703985</v>
      </c>
      <c r="U33" s="77">
        <v>67.813000886733064</v>
      </c>
      <c r="V33" s="77">
        <v>259.40803832331108</v>
      </c>
      <c r="W33" s="90">
        <f>1037.67175317697+658</f>
        <v>1695.67175317697</v>
      </c>
      <c r="X33" s="77"/>
      <c r="Y33" s="90">
        <v>30.488090772537991</v>
      </c>
      <c r="Z33" s="77"/>
      <c r="AA33" s="77">
        <f t="shared" si="7"/>
        <v>5720.9566636793397</v>
      </c>
    </row>
    <row r="34" spans="1:27" x14ac:dyDescent="0.2">
      <c r="A34" s="70"/>
      <c r="B34" s="98" t="s">
        <v>42</v>
      </c>
      <c r="C34" s="87">
        <f>C30+C31+C32+C33</f>
        <v>828.85422457003153</v>
      </c>
      <c r="D34" s="87">
        <f t="shared" ref="D34:I34" si="9">D30+D31+D32+D33</f>
        <v>749.77606436245196</v>
      </c>
      <c r="E34" s="87">
        <f t="shared" si="9"/>
        <v>5760.3182527780918</v>
      </c>
      <c r="F34" s="87">
        <f t="shared" si="9"/>
        <v>1821.6946995850371</v>
      </c>
      <c r="G34" s="87">
        <f t="shared" si="9"/>
        <v>920.2770538375064</v>
      </c>
      <c r="H34" s="87">
        <f t="shared" si="9"/>
        <v>9627.9306789556158</v>
      </c>
      <c r="I34" s="87">
        <f t="shared" si="9"/>
        <v>3499.2974526912531</v>
      </c>
      <c r="J34" s="74"/>
      <c r="K34" s="74"/>
      <c r="L34" s="74"/>
      <c r="M34" s="87">
        <f>SUM(C34:I34)</f>
        <v>23208.14842677999</v>
      </c>
      <c r="O34" s="62"/>
      <c r="P34" s="81" t="s">
        <v>29</v>
      </c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>
        <f t="shared" si="7"/>
        <v>0</v>
      </c>
    </row>
    <row r="35" spans="1:27" x14ac:dyDescent="0.2">
      <c r="A35" s="70">
        <v>4</v>
      </c>
      <c r="B35" s="71" t="s">
        <v>33</v>
      </c>
      <c r="C35" s="75"/>
      <c r="D35" s="75"/>
      <c r="E35" s="75"/>
      <c r="F35" s="75"/>
      <c r="G35" s="75"/>
      <c r="H35" s="80"/>
      <c r="I35" s="75"/>
      <c r="J35" s="75"/>
      <c r="K35" s="75"/>
      <c r="L35" s="75"/>
      <c r="M35" s="75"/>
      <c r="O35" s="62"/>
      <c r="P35" s="81" t="s">
        <v>22</v>
      </c>
      <c r="Q35" s="77"/>
      <c r="R35" s="77"/>
      <c r="S35" s="77">
        <v>58.106883365200844</v>
      </c>
      <c r="T35" s="77"/>
      <c r="U35" s="77"/>
      <c r="V35" s="77">
        <v>33.770000000000003</v>
      </c>
      <c r="W35" s="77"/>
      <c r="X35" s="77">
        <f>-17.48+(-1)</f>
        <v>-18.48</v>
      </c>
      <c r="Y35" s="99">
        <v>0.89764332149685877</v>
      </c>
      <c r="Z35" s="77"/>
      <c r="AA35" s="77">
        <f t="shared" si="7"/>
        <v>74.294526686697708</v>
      </c>
    </row>
    <row r="36" spans="1:27" x14ac:dyDescent="0.2">
      <c r="A36" s="70"/>
      <c r="B36" s="73" t="s">
        <v>34</v>
      </c>
      <c r="C36" s="75"/>
      <c r="D36" s="75"/>
      <c r="E36" s="75"/>
      <c r="F36" s="75"/>
      <c r="G36" s="75"/>
      <c r="H36" s="75"/>
      <c r="I36" s="75"/>
      <c r="J36" s="74"/>
      <c r="K36" s="74"/>
      <c r="L36" s="74"/>
      <c r="M36" s="75">
        <f>SUM(C36:I36)</f>
        <v>0</v>
      </c>
      <c r="N36" s="63"/>
      <c r="O36" s="70"/>
      <c r="P36" s="81" t="s">
        <v>19</v>
      </c>
      <c r="Q36" s="77"/>
      <c r="R36" s="77"/>
      <c r="S36" s="77">
        <v>14</v>
      </c>
      <c r="T36" s="77"/>
      <c r="U36" s="77"/>
      <c r="V36" s="77"/>
      <c r="W36" s="77"/>
      <c r="X36" s="77">
        <v>132.30000000000001</v>
      </c>
      <c r="Y36" s="77"/>
      <c r="Z36" s="77"/>
      <c r="AA36" s="77">
        <f t="shared" si="7"/>
        <v>146.30000000000001</v>
      </c>
    </row>
    <row r="37" spans="1:27" x14ac:dyDescent="0.2">
      <c r="A37" s="70"/>
      <c r="B37" s="73" t="s">
        <v>35</v>
      </c>
      <c r="C37" s="74"/>
      <c r="D37" s="74"/>
      <c r="E37" s="74"/>
      <c r="F37" s="74"/>
      <c r="G37" s="74"/>
      <c r="H37" s="74"/>
      <c r="I37" s="74"/>
      <c r="J37" s="75"/>
      <c r="K37" s="74"/>
      <c r="L37" s="74"/>
      <c r="M37" s="75">
        <f>J37</f>
        <v>0</v>
      </c>
      <c r="N37" s="63"/>
      <c r="O37" s="70"/>
      <c r="P37" s="81" t="s">
        <v>30</v>
      </c>
      <c r="Q37" s="77">
        <v>52.232378138784838</v>
      </c>
      <c r="R37" s="77">
        <v>105.50543283768178</v>
      </c>
      <c r="S37" s="77">
        <v>1219.3490863376223</v>
      </c>
      <c r="T37" s="77">
        <v>58.507931658513527</v>
      </c>
      <c r="U37" s="77">
        <v>492.06200246879877</v>
      </c>
      <c r="V37" s="77">
        <v>5292.0737757404777</v>
      </c>
      <c r="W37" s="77">
        <v>1708.8463688102502</v>
      </c>
      <c r="X37" s="77">
        <v>876</v>
      </c>
      <c r="Y37" s="77">
        <v>2558.426390559991</v>
      </c>
      <c r="Z37" s="77"/>
      <c r="AA37" s="77">
        <f t="shared" si="7"/>
        <v>12363.003366552119</v>
      </c>
    </row>
    <row r="38" spans="1:27" x14ac:dyDescent="0.2">
      <c r="A38" s="70">
        <v>5</v>
      </c>
      <c r="B38" s="71" t="s">
        <v>36</v>
      </c>
      <c r="C38" s="87">
        <f t="shared" ref="C38:M38" si="10">C37+C36+C34+C28+C17</f>
        <v>944.06761933917221</v>
      </c>
      <c r="D38" s="87">
        <f t="shared" si="10"/>
        <v>14977.456973760623</v>
      </c>
      <c r="E38" s="87">
        <f t="shared" si="10"/>
        <v>16746.667776926064</v>
      </c>
      <c r="F38" s="87">
        <f t="shared" si="10"/>
        <v>8619.4138924524141</v>
      </c>
      <c r="G38" s="87">
        <f t="shared" si="10"/>
        <v>920.2770538375064</v>
      </c>
      <c r="H38" s="87">
        <f t="shared" si="10"/>
        <v>9627.9306789556158</v>
      </c>
      <c r="I38" s="87">
        <f t="shared" si="10"/>
        <v>3499.2974526912531</v>
      </c>
      <c r="J38" s="87">
        <f t="shared" si="10"/>
        <v>0</v>
      </c>
      <c r="K38" s="87">
        <f t="shared" si="10"/>
        <v>15565.165795252316</v>
      </c>
      <c r="L38" s="87">
        <f t="shared" si="10"/>
        <v>15639.926027204054</v>
      </c>
      <c r="M38" s="87">
        <f t="shared" si="10"/>
        <v>86540.203270419035</v>
      </c>
      <c r="O38" s="62"/>
      <c r="P38" s="90" t="s">
        <v>45</v>
      </c>
      <c r="Q38" s="90">
        <f t="shared" ref="Q38:Z38" si="11">SUM(Q30:Q37)</f>
        <v>828.85422457003153</v>
      </c>
      <c r="R38" s="90">
        <f t="shared" si="11"/>
        <v>450.05664845403356</v>
      </c>
      <c r="S38" s="90">
        <f t="shared" si="11"/>
        <v>5760.3182527780918</v>
      </c>
      <c r="T38" s="90">
        <f t="shared" si="11"/>
        <v>758.62635533881883</v>
      </c>
      <c r="U38" s="90">
        <f t="shared" si="11"/>
        <v>920.2770538375064</v>
      </c>
      <c r="V38" s="90">
        <f t="shared" si="11"/>
        <v>9627.9306789556158</v>
      </c>
      <c r="W38" s="90">
        <f t="shared" si="11"/>
        <v>3499.2974526912531</v>
      </c>
      <c r="X38" s="90">
        <f t="shared" si="11"/>
        <v>936.30815411685853</v>
      </c>
      <c r="Y38" s="90">
        <f t="shared" si="11"/>
        <v>2609.5720133536124</v>
      </c>
      <c r="Z38" s="90">
        <f t="shared" si="11"/>
        <v>0</v>
      </c>
      <c r="AA38" s="90">
        <f>SUM(Q38:Z38)</f>
        <v>25391.240834095817</v>
      </c>
    </row>
    <row r="39" spans="1:27" x14ac:dyDescent="0.2">
      <c r="B39" s="60" t="s">
        <v>69</v>
      </c>
      <c r="O39" s="62"/>
      <c r="P39" s="92" t="s">
        <v>37</v>
      </c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>
        <f>SUM(Q39:Z39)</f>
        <v>0</v>
      </c>
    </row>
    <row r="40" spans="1:27" x14ac:dyDescent="0.2">
      <c r="B40" s="60" t="s">
        <v>112</v>
      </c>
      <c r="O40" s="62">
        <v>3</v>
      </c>
      <c r="P40" s="90" t="s">
        <v>31</v>
      </c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</row>
    <row r="41" spans="1:27" x14ac:dyDescent="0.2">
      <c r="P41" s="100" t="s">
        <v>40</v>
      </c>
      <c r="Q41" s="77"/>
      <c r="R41" s="77"/>
      <c r="S41" s="77"/>
      <c r="T41" s="77"/>
      <c r="U41" s="77"/>
      <c r="V41" s="77"/>
      <c r="W41" s="77"/>
      <c r="X41" s="77"/>
      <c r="Y41" s="77"/>
      <c r="Z41" s="77">
        <f>M30</f>
        <v>975.17918424621814</v>
      </c>
      <c r="AA41" s="77">
        <f t="shared" ref="AA41:AA48" si="12">SUM(Q41:Z41)</f>
        <v>975.17918424621814</v>
      </c>
    </row>
    <row r="42" spans="1:27" x14ac:dyDescent="0.2">
      <c r="O42" s="62"/>
      <c r="P42" s="81" t="s">
        <v>41</v>
      </c>
      <c r="Q42" s="77"/>
      <c r="R42" s="77"/>
      <c r="S42" s="77"/>
      <c r="T42" s="77"/>
      <c r="U42" s="77"/>
      <c r="V42" s="77"/>
      <c r="W42" s="77"/>
      <c r="X42" s="77"/>
      <c r="Y42" s="77"/>
      <c r="Z42" s="77">
        <f>M31</f>
        <v>122.0564</v>
      </c>
      <c r="AA42" s="77">
        <f t="shared" si="12"/>
        <v>122.0564</v>
      </c>
    </row>
    <row r="43" spans="1:27" x14ac:dyDescent="0.2">
      <c r="O43" s="62"/>
      <c r="P43" s="81" t="s">
        <v>43</v>
      </c>
      <c r="Q43" s="77"/>
      <c r="R43" s="77"/>
      <c r="S43" s="77"/>
      <c r="T43" s="77"/>
      <c r="U43" s="77"/>
      <c r="V43" s="77"/>
      <c r="W43" s="77"/>
      <c r="X43" s="77"/>
      <c r="Y43" s="77"/>
      <c r="Z43" s="77">
        <f>M32</f>
        <v>265.55217590841835</v>
      </c>
      <c r="AA43" s="77">
        <f>SUM(Q43:Z43)</f>
        <v>265.55217590841835</v>
      </c>
    </row>
    <row r="44" spans="1:27" x14ac:dyDescent="0.2">
      <c r="O44" s="62"/>
      <c r="P44" s="81" t="s">
        <v>46</v>
      </c>
      <c r="Q44" s="77"/>
      <c r="R44" s="77"/>
      <c r="S44" s="77"/>
      <c r="T44" s="77"/>
      <c r="U44" s="77"/>
      <c r="V44" s="77"/>
      <c r="W44" s="77"/>
      <c r="X44" s="77"/>
      <c r="Y44" s="77"/>
      <c r="Z44" s="77">
        <f>M33</f>
        <v>21845.360666625347</v>
      </c>
      <c r="AA44" s="77">
        <f>SUM(Q44:Z44)</f>
        <v>21845.360666625347</v>
      </c>
    </row>
    <row r="45" spans="1:27" x14ac:dyDescent="0.2">
      <c r="O45" s="62"/>
      <c r="P45" s="76" t="s">
        <v>42</v>
      </c>
      <c r="Q45" s="77"/>
      <c r="R45" s="77"/>
      <c r="S45" s="77"/>
      <c r="T45" s="77"/>
      <c r="U45" s="77"/>
      <c r="V45" s="77"/>
      <c r="W45" s="77"/>
      <c r="X45" s="77"/>
      <c r="Y45" s="77"/>
      <c r="Z45" s="90">
        <f>M34</f>
        <v>23208.14842677999</v>
      </c>
      <c r="AA45" s="90">
        <f>SUM(Q45:Z45)</f>
        <v>23208.14842677999</v>
      </c>
    </row>
    <row r="46" spans="1:27" x14ac:dyDescent="0.2">
      <c r="O46" s="62">
        <v>4</v>
      </c>
      <c r="P46" s="90" t="s">
        <v>33</v>
      </c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</row>
    <row r="47" spans="1:27" x14ac:dyDescent="0.2">
      <c r="P47" s="76" t="s">
        <v>34</v>
      </c>
      <c r="Q47" s="77"/>
      <c r="R47" s="77"/>
      <c r="S47" s="77"/>
      <c r="T47" s="77"/>
      <c r="U47" s="77"/>
      <c r="V47" s="77"/>
      <c r="W47" s="77"/>
      <c r="X47" s="77">
        <f>M36</f>
        <v>0</v>
      </c>
      <c r="Y47" s="77"/>
      <c r="Z47" s="77"/>
      <c r="AA47" s="90">
        <f t="shared" si="12"/>
        <v>0</v>
      </c>
    </row>
    <row r="48" spans="1:27" x14ac:dyDescent="0.2">
      <c r="O48" s="62"/>
      <c r="P48" s="76" t="s">
        <v>35</v>
      </c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90">
        <f t="shared" si="12"/>
        <v>0</v>
      </c>
    </row>
    <row r="49" spans="15:27" x14ac:dyDescent="0.2">
      <c r="O49" s="62">
        <v>5</v>
      </c>
      <c r="P49" s="101" t="s">
        <v>38</v>
      </c>
      <c r="Q49" s="90">
        <f>Q17+Q28+Q38</f>
        <v>944.0676193391721</v>
      </c>
      <c r="R49" s="90">
        <f>R17+R28+R38</f>
        <v>14942.978824362452</v>
      </c>
      <c r="S49" s="90">
        <f>S17+S28+S38+S39</f>
        <v>16530.747508271696</v>
      </c>
      <c r="T49" s="90">
        <f t="shared" ref="T49:Y49" si="13">T17+T28+T38</f>
        <v>13319.812977149826</v>
      </c>
      <c r="U49" s="90">
        <f t="shared" si="13"/>
        <v>920.2770538375064</v>
      </c>
      <c r="V49" s="90">
        <f t="shared" si="13"/>
        <v>9627.9306789556158</v>
      </c>
      <c r="W49" s="90">
        <f t="shared" si="13"/>
        <v>3499.2974526912531</v>
      </c>
      <c r="X49" s="90">
        <f t="shared" si="13"/>
        <v>936.30815411685853</v>
      </c>
      <c r="Y49" s="90">
        <f t="shared" si="13"/>
        <v>2609.5720133536124</v>
      </c>
      <c r="Z49" s="90">
        <f>Z17+Z28+Z38+Z45</f>
        <v>23208.14842677999</v>
      </c>
      <c r="AA49" s="90">
        <f>AA17+AA28+AA38+AA45+AA47+AA48+AA39</f>
        <v>86539.140708857973</v>
      </c>
    </row>
    <row r="50" spans="15:27" x14ac:dyDescent="0.2">
      <c r="P50" s="60" t="s">
        <v>112</v>
      </c>
    </row>
  </sheetData>
  <mergeCells count="17">
    <mergeCell ref="B5:B8"/>
    <mergeCell ref="C5:I5"/>
    <mergeCell ref="C6:H6"/>
    <mergeCell ref="I6:I8"/>
    <mergeCell ref="P5:P8"/>
    <mergeCell ref="J5:J8"/>
    <mergeCell ref="K5:K8"/>
    <mergeCell ref="L5:L8"/>
    <mergeCell ref="M5:M8"/>
    <mergeCell ref="H7:H8"/>
    <mergeCell ref="X5:X8"/>
    <mergeCell ref="Y5:Y8"/>
    <mergeCell ref="Z5:Z8"/>
    <mergeCell ref="AA5:AA8"/>
    <mergeCell ref="Q6:V6"/>
    <mergeCell ref="W6:W8"/>
    <mergeCell ref="Q5:V5"/>
  </mergeCells>
  <conditionalFormatting sqref="Y35">
    <cfRule type="expression" dxfId="0" priority="1">
      <formula>MOD(ROW(),3)=1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1" fitToWidth="2" orientation="landscape" verticalDpi="0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2.1</vt:lpstr>
      <vt:lpstr>2.2 &amp; 2.3 PSUT 2015-16</vt:lpstr>
      <vt:lpstr>2.4 &amp; 2.5 PSUT 2016-17 </vt:lpstr>
      <vt:lpstr>2.6 &amp; 2.7 PSUT 2017-18</vt:lpstr>
      <vt:lpstr>2.8 &amp; 2.9 PSUT 2018-19</vt:lpstr>
      <vt:lpstr>'2.2 &amp; 2.3 PSUT 2015-16'!Print_Area</vt:lpstr>
      <vt:lpstr>'2.4 &amp; 2.5 PSUT 2016-17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SSD</dc:creator>
  <cp:lastModifiedBy>hp</cp:lastModifiedBy>
  <cp:lastPrinted>2022-09-30T06:24:57Z</cp:lastPrinted>
  <dcterms:created xsi:type="dcterms:W3CDTF">2022-07-21T04:14:00Z</dcterms:created>
  <dcterms:modified xsi:type="dcterms:W3CDTF">2022-09-30T06:26:04Z</dcterms:modified>
</cp:coreProperties>
</file>